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unELvDs+fI67poI3Gbi9PvQWcpAdNHB7PS9hc/y/+bRcn0uTnfVTItOkD41agEhs0Jfr832n+IYwhmMDiwZl0Q==" workbookSaltValue="DinCQfWuB21AlAK9q2FS8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N26" i="2"/>
  <c r="K30"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F32" i="20"/>
  <c r="AQ32" i="21"/>
  <c r="AJ32" i="20"/>
  <c r="G30" i="14"/>
  <c r="G23" i="14"/>
  <c r="U18" i="11"/>
  <c r="AX32" i="20"/>
  <c r="Y32" i="20"/>
  <c r="L32" i="20"/>
  <c r="AG32" i="20"/>
  <c r="H32" i="20"/>
  <c r="T32" i="21"/>
  <c r="F32" i="20"/>
  <c r="G26" i="14"/>
  <c r="S32" i="20"/>
  <c r="K32" i="20"/>
  <c r="O17" i="11"/>
  <c r="H28" i="2" l="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6" i="12"/>
  <c r="I9" i="12"/>
  <c r="X14" i="17"/>
  <c r="AM16" i="11"/>
  <c r="AM11" i="11"/>
  <c r="AP30" i="20"/>
  <c r="AM12" i="11"/>
  <c r="AO12" i="17"/>
  <c r="K9" i="12"/>
  <c r="AP14" i="21"/>
  <c r="AM9" i="11"/>
  <c r="AP30" i="21"/>
  <c r="AM25" i="11"/>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Q13" i="11" s="1"/>
  <c r="BJ29" i="11"/>
  <c r="BI16" i="11"/>
  <c r="BH9" i="11"/>
  <c r="BF22" i="11"/>
  <c r="V21" i="11"/>
  <c r="BJ21" i="11"/>
  <c r="BK16" i="11"/>
  <c r="AZ29" i="11"/>
  <c r="S18" i="16"/>
  <c r="BF25" i="11"/>
  <c r="BK12" i="11"/>
  <c r="BI28" i="11"/>
  <c r="BL18" i="11"/>
  <c r="BJ19" i="11"/>
  <c r="BF19" i="11"/>
  <c r="BH18" i="16"/>
  <c r="S20" i="14"/>
  <c r="V20" i="14" s="1"/>
  <c r="T9" i="11"/>
  <c r="BF23" i="13"/>
  <c r="BL9" i="11"/>
  <c r="Q9" i="11" s="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AP17" i="20"/>
  <c r="BJ22" i="11"/>
  <c r="BG10" i="11"/>
  <c r="V11" i="16"/>
  <c r="V25" i="11"/>
  <c r="BF10" i="11"/>
  <c r="V11" i="11"/>
  <c r="BM12" i="11"/>
  <c r="V9" i="11"/>
  <c r="BJ16" i="11"/>
  <c r="AP16" i="20"/>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X16" i="16"/>
  <c r="X23" i="16" s="1"/>
  <c r="V25" i="16"/>
  <c r="BL19" i="11"/>
  <c r="BL23" i="11" s="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7" i="2"/>
  <c r="L18" i="2"/>
  <c r="AA11"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P9" i="11" l="1"/>
  <c r="AA31" i="11"/>
  <c r="R31" i="20"/>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S32" i="11"/>
  <c r="Q32" i="17"/>
  <c r="BE32" i="21"/>
  <c r="J32" i="16"/>
  <c r="BC32" i="16"/>
  <c r="AN32" i="16"/>
  <c r="AU32" i="21"/>
  <c r="AE32" i="17"/>
  <c r="AG32" i="17"/>
  <c r="F32" i="16"/>
  <c r="AC32" i="17"/>
  <c r="AK32" i="11"/>
  <c r="AF32" i="16"/>
  <c r="E32" i="12"/>
  <c r="BK32" i="16"/>
  <c r="AS32" i="11"/>
  <c r="P32" i="17"/>
  <c r="I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<sst xmlns="http://schemas.openxmlformats.org/spreadsheetml/2006/main" count="2682" uniqueCount="1193">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</sst>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iUcnqgSxFpfojGZAw6ACVIOr9uQ0nJdAt7+YhunMAxD5krknrMUW8ttdvlDruEuRZdbyARjlIJTGu8eJc7V8Q==" saltValue="A79w4WciDRkxGJE97FYM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38.429487179487182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367</v>
      </c>
      <c r="D17" s="239">
        <f>IF(ISNUMBER(IF(D_I="SI",Datos!I17,Datos!I17+Datos!AC17)),IF(D_I="SI",Datos!I17,Datos!I17+Datos!AC17)," - ")</f>
        <v>367</v>
      </c>
      <c r="E17" s="240">
        <f>IF(ISNUMBER(IF(D_I="SI",Datos!J17,Datos!J17+Datos!AD17)),IF(D_I="SI",Datos!J17,Datos!J17+Datos!AD17)," - ")</f>
        <v>185</v>
      </c>
      <c r="F17" s="240">
        <f>IF(ISNUMBER(IF(D_I="SI",Datos!K17,Datos!K17+Datos!AE17)),IF(D_I="SI",Datos!K17,Datos!K17+Datos!AE17)," - ")</f>
        <v>102</v>
      </c>
      <c r="G17" s="1390" t="str">
        <f>IF(Datos!E17&lt;&gt;"",Datos!E17,Datos!D17)</f>
        <v>04</v>
      </c>
      <c r="H17" s="241">
        <f>IF(ISNUMBER(IF(D_I="SI",Datos!L17,Datos!L17+Datos!AF17)),IF(D_I="SI",Datos!L17,Datos!L17+Datos!AF17)," - ")</f>
        <v>450</v>
      </c>
      <c r="I17" s="1400" t="str">
        <f>IF(ISNUMBER(Datos!AS17/Datos!BM17),Datos!AS17/Datos!BM17," - ")</f>
        <v xml:space="preserve"> - </v>
      </c>
      <c r="J17" s="1401">
        <f>IF(ISNUMBER(Datos!BY17/Datos!CN17),Datos!BY17/Datos!CN17," - ")</f>
        <v>0</v>
      </c>
      <c r="K17" s="244">
        <f t="shared" si="3"/>
        <v>0.22615803814713897</v>
      </c>
      <c r="L17" s="1402">
        <f>IF(ISNUMBER(NºAsuntos!I17/NºAsuntos!G17),(NºAsuntos!I17/NºAsuntos!G17)*11," - ")</f>
        <v>48.529411764705884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6</v>
      </c>
      <c r="F18" s="240">
        <f>IF(ISNUMBER(IF(D_I="SI",Datos!K18,Datos!K18+Datos!AE18)),IF(D_I="SI",Datos!K18,Datos!K18+Datos!AE18)," - ")</f>
        <v>7</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-4.1666666666666664E-2</v>
      </c>
      <c r="L18" s="1402">
        <f>IF(ISNUMBER(NºAsuntos!I18/NºAsuntos!G18),(NºAsuntos!I18/NºAsuntos!G18)*11," - ")</f>
        <v>36.142857142857139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391</v>
      </c>
      <c r="D23" s="1407">
        <f>SUBTOTAL(9,D16:D22)</f>
        <v>391</v>
      </c>
      <c r="E23" s="1408">
        <f>SUBTOTAL(9,E16:E22)</f>
        <v>191</v>
      </c>
      <c r="F23" s="1408">
        <f>SUBTOTAL(9,F16:F22)</f>
        <v>109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395</v>
      </c>
      <c r="D31" s="1435">
        <f>SUBTOTAL(9,D9:D30)</f>
        <v>395</v>
      </c>
      <c r="E31" s="1436">
        <f>SUBTOTAL(9,E9:E30)</f>
        <v>191</v>
      </c>
      <c r="F31" s="1436">
        <f>SUBTOTAL(9,F9:F30)</f>
        <v>109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N+CSPY/ewjmSYJZ67s70MKDeKJcMpQx6kxAWtO5OblTKs6UhUYhnBRXmlYDwpBEBkc8VXWpob4vKXuUSdhpzg==" saltValue="zfvnbG1lrSvD5JhEMlls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SUr8hfcWCluKUaOmml5Wypzd9x5Mln9pfvWxuF/1wioX2NO63s5xicxNXp2Wo9P0cy297LPZoOXFJOxjtDbcQ==" saltValue="LstX2kZqY+YatFVWPhnD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438</v>
      </c>
      <c r="J12" s="196">
        <v>178</v>
      </c>
      <c r="K12" s="196">
        <v>124</v>
      </c>
      <c r="L12" s="196">
        <v>492</v>
      </c>
      <c r="M12" s="196">
        <v>34</v>
      </c>
      <c r="N12" s="196">
        <v>35</v>
      </c>
      <c r="O12" s="194">
        <v>88</v>
      </c>
      <c r="P12" s="196">
        <v>50</v>
      </c>
      <c r="Q12" s="196">
        <v>32</v>
      </c>
      <c r="R12" s="196">
        <v>684</v>
      </c>
      <c r="S12" s="196">
        <v>510</v>
      </c>
      <c r="T12" s="196">
        <v>129</v>
      </c>
      <c r="U12" s="196">
        <v>125</v>
      </c>
      <c r="V12" s="196">
        <v>514</v>
      </c>
      <c r="W12" s="196">
        <v>36</v>
      </c>
      <c r="X12" s="202">
        <v>58</v>
      </c>
      <c r="Y12" s="204">
        <v>56</v>
      </c>
      <c r="Z12" s="194">
        <v>29</v>
      </c>
      <c r="AA12" s="194">
        <v>32</v>
      </c>
      <c r="AB12" s="194">
        <v>53</v>
      </c>
      <c r="AC12" s="196">
        <v>0</v>
      </c>
      <c r="AD12" s="196">
        <v>0</v>
      </c>
      <c r="AE12" s="196">
        <v>0</v>
      </c>
      <c r="AF12" s="202">
        <v>0</v>
      </c>
      <c r="AG12" s="215">
        <v>30</v>
      </c>
      <c r="AH12" s="196">
        <v>24</v>
      </c>
      <c r="AI12" s="196">
        <v>17</v>
      </c>
      <c r="AJ12" s="216">
        <v>37</v>
      </c>
      <c r="AK12" s="195">
        <v>0</v>
      </c>
      <c r="AL12" s="196">
        <v>0</v>
      </c>
      <c r="AM12" s="196">
        <v>0</v>
      </c>
      <c r="AN12" s="202">
        <v>0</v>
      </c>
      <c r="AO12" s="283">
        <v>1</v>
      </c>
      <c r="AP12" s="168">
        <v>1</v>
      </c>
      <c r="AQ12" s="168">
        <v>1</v>
      </c>
      <c r="AR12" s="167">
        <v>1</v>
      </c>
      <c r="AS12" s="381" t="s">
        <v>1075</v>
      </c>
      <c r="AT12" s="216"/>
      <c r="AU12" s="215"/>
      <c r="AV12" s="216"/>
      <c r="AW12" s="215"/>
      <c r="AX12" s="216"/>
      <c r="AY12" s="136">
        <f t="shared" si="1"/>
        <v>540</v>
      </c>
      <c r="AZ12" s="137">
        <f t="shared" si="1"/>
        <v>153</v>
      </c>
      <c r="BA12" s="137">
        <f t="shared" si="1"/>
        <v>142</v>
      </c>
      <c r="BB12" s="137">
        <f t="shared" si="1"/>
        <v>551</v>
      </c>
      <c r="BC12" s="135">
        <f>IF(ISNUMBER(X12),X12," - ")</f>
        <v>58</v>
      </c>
      <c r="BD12" s="136">
        <f t="shared" si="2"/>
        <v>0.92810457516339873</v>
      </c>
      <c r="BE12" s="137">
        <f t="shared" si="3"/>
        <v>3.880281690140845</v>
      </c>
      <c r="BF12" s="137">
        <f t="shared" si="4"/>
        <v>0.40845070422535212</v>
      </c>
      <c r="BG12" s="209">
        <f t="shared" si="5"/>
        <v>4.880281690140845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442</v>
      </c>
      <c r="J14" s="197">
        <f t="shared" si="7"/>
        <v>178</v>
      </c>
      <c r="K14" s="197">
        <f t="shared" si="7"/>
        <v>124</v>
      </c>
      <c r="L14" s="197">
        <f t="shared" si="7"/>
        <v>496</v>
      </c>
      <c r="M14" s="197">
        <f t="shared" si="7"/>
        <v>34</v>
      </c>
      <c r="N14" s="197">
        <f t="shared" si="7"/>
        <v>35</v>
      </c>
      <c r="O14" s="197">
        <f t="shared" si="7"/>
        <v>88</v>
      </c>
      <c r="P14" s="197">
        <f t="shared" si="7"/>
        <v>50</v>
      </c>
      <c r="Q14" s="197">
        <f t="shared" si="7"/>
        <v>32</v>
      </c>
      <c r="R14" s="197">
        <f t="shared" si="7"/>
        <v>684</v>
      </c>
      <c r="S14" s="197">
        <f t="shared" si="7"/>
        <v>511</v>
      </c>
      <c r="T14" s="197">
        <f t="shared" si="7"/>
        <v>129</v>
      </c>
      <c r="U14" s="197">
        <f t="shared" si="7"/>
        <v>125</v>
      </c>
      <c r="V14" s="197">
        <f t="shared" si="7"/>
        <v>515</v>
      </c>
      <c r="W14" s="197">
        <f t="shared" si="7"/>
        <v>36</v>
      </c>
      <c r="X14" s="197">
        <f t="shared" si="7"/>
        <v>58</v>
      </c>
      <c r="Y14" s="197">
        <f t="shared" si="7"/>
        <v>56</v>
      </c>
      <c r="Z14" s="197">
        <f t="shared" si="7"/>
        <v>29</v>
      </c>
      <c r="AA14" s="197">
        <f t="shared" si="7"/>
        <v>32</v>
      </c>
      <c r="AB14" s="197">
        <f t="shared" si="7"/>
        <v>53</v>
      </c>
      <c r="AC14" s="197">
        <f t="shared" si="7"/>
        <v>0</v>
      </c>
      <c r="AD14" s="197">
        <f t="shared" si="7"/>
        <v>0</v>
      </c>
      <c r="AE14" s="197">
        <f t="shared" si="7"/>
        <v>0</v>
      </c>
      <c r="AF14" s="197">
        <f>SUBTOTAL(9,AF9:AF13)</f>
        <v>0</v>
      </c>
      <c r="AG14" s="197">
        <f t="shared" ref="AG14:AT14" si="8">SUBTOTAL(9,AG8:AG13)</f>
        <v>30</v>
      </c>
      <c r="AH14" s="197">
        <f t="shared" si="8"/>
        <v>24</v>
      </c>
      <c r="AI14" s="197">
        <f t="shared" si="8"/>
        <v>17</v>
      </c>
      <c r="AJ14" s="197">
        <f t="shared" si="8"/>
        <v>37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541</v>
      </c>
      <c r="AZ14" s="197">
        <f>SUBTOTAL(9,AZ8:AZ13)</f>
        <v>153</v>
      </c>
      <c r="BA14" s="197">
        <f>SUBTOTAL(9,BA8:BA13)</f>
        <v>142</v>
      </c>
      <c r="BB14" s="197">
        <f>SUBTOTAL(9,BB8:BB13)</f>
        <v>552</v>
      </c>
      <c r="BC14" s="197">
        <f>SUBTOTAL(9,BC8:BC13)</f>
        <v>58</v>
      </c>
      <c r="BD14" s="219">
        <f>IF(ISNUMBER(BA14/AZ14),BA14/AZ14," - ")</f>
        <v>0.92810457516339873</v>
      </c>
      <c r="BE14" s="220">
        <f>IF(ISNUMBER(BB14/BA14),BB14/BA14, " - ")</f>
        <v>3.887323943661972</v>
      </c>
      <c r="BF14" s="220">
        <f>IF(ISNUMBER(BC14/BA14),BC14/BA14, " - ")</f>
        <v>0.40845070422535212</v>
      </c>
      <c r="BG14" s="221">
        <f>IF(ISNUMBER((AY14+AZ14)/BA14),(AY14+AZ14)/BA14," - ")</f>
        <v>4.887323943661972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367</v>
      </c>
      <c r="J17" s="196">
        <v>185</v>
      </c>
      <c r="K17" s="196">
        <v>102</v>
      </c>
      <c r="L17" s="196">
        <v>450</v>
      </c>
      <c r="M17" s="196">
        <v>7</v>
      </c>
      <c r="N17" s="196">
        <v>53</v>
      </c>
      <c r="O17" s="194">
        <v>0</v>
      </c>
      <c r="P17" s="196">
        <v>1</v>
      </c>
      <c r="Q17" s="196">
        <v>2</v>
      </c>
      <c r="R17" s="196">
        <v>38</v>
      </c>
      <c r="S17" s="196">
        <v>372</v>
      </c>
      <c r="T17" s="196">
        <v>175</v>
      </c>
      <c r="U17" s="196">
        <v>177</v>
      </c>
      <c r="V17" s="196">
        <v>370</v>
      </c>
      <c r="W17" s="196">
        <v>17</v>
      </c>
      <c r="X17" s="202">
        <v>121</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372</v>
      </c>
      <c r="AZ17" s="137">
        <f t="shared" si="10"/>
        <v>175</v>
      </c>
      <c r="BA17" s="137">
        <f t="shared" si="10"/>
        <v>177</v>
      </c>
      <c r="BB17" s="137">
        <f t="shared" si="10"/>
        <v>370</v>
      </c>
      <c r="BC17" s="135">
        <f>IF(ISNUMBER(W17),W17," - ")</f>
        <v>17</v>
      </c>
      <c r="BD17" s="136">
        <f t="shared" ref="BD17:BD22" si="12">IF(ISNUMBER(BA17/AZ17),BA17/AZ17," - ")</f>
        <v>1.0114285714285713</v>
      </c>
      <c r="BE17" s="137">
        <f t="shared" ref="BE17:BE22" si="13">IF(ISNUMBER(BB17/BA17),BB17/BA17, " - ")</f>
        <v>2.0903954802259888</v>
      </c>
      <c r="BF17" s="137">
        <f t="shared" ref="BF17:BF22" si="14">IF(ISNUMBER(BC17/BA17),BC17/BA17, " - ")</f>
        <v>9.6045197740112997E-2</v>
      </c>
      <c r="BG17" s="209">
        <f t="shared" si="11"/>
        <v>3.0903954802259888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6</v>
      </c>
      <c r="K18" s="196">
        <v>7</v>
      </c>
      <c r="L18" s="196">
        <v>23</v>
      </c>
      <c r="M18" s="196">
        <v>0</v>
      </c>
      <c r="N18" s="196">
        <v>9</v>
      </c>
      <c r="O18" s="196">
        <v>0</v>
      </c>
      <c r="P18" s="196">
        <v>0</v>
      </c>
      <c r="Q18" s="196">
        <v>0</v>
      </c>
      <c r="R18" s="196">
        <v>0</v>
      </c>
      <c r="S18" s="196">
        <v>18</v>
      </c>
      <c r="T18" s="196">
        <v>8</v>
      </c>
      <c r="U18" s="196">
        <v>7</v>
      </c>
      <c r="V18" s="196">
        <v>19</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8</v>
      </c>
      <c r="BA18" s="139">
        <f t="shared" si="15"/>
        <v>7</v>
      </c>
      <c r="BB18" s="139">
        <f t="shared" si="15"/>
        <v>19</v>
      </c>
      <c r="BC18" s="135">
        <f>IF(ISNUMBER(W18),W18," - ")</f>
        <v>1</v>
      </c>
      <c r="BD18" s="136">
        <f>IF(ISNUMBER(BA18/AZ18),BA18/AZ18," - ")</f>
        <v>0.875</v>
      </c>
      <c r="BE18" s="137">
        <f>IF(ISNUMBER(BB18/BA18),BB18/BA18, " - ")</f>
        <v>2.7142857142857144</v>
      </c>
      <c r="BF18" s="137">
        <f>IF(ISNUMBER(BC18/BA18),BC18/BA18, " - ")</f>
        <v>0.14285714285714285</v>
      </c>
      <c r="BG18" s="209">
        <f>IF(ISNUMBER((AY18+AZ18)/BA18),(AY18+AZ18)/BA18," - ")</f>
        <v>3.7142857142857144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391</v>
      </c>
      <c r="J23" s="197">
        <f t="shared" si="21"/>
        <v>191</v>
      </c>
      <c r="K23" s="197">
        <f t="shared" si="21"/>
        <v>109</v>
      </c>
      <c r="L23" s="197">
        <f t="shared" si="21"/>
        <v>473</v>
      </c>
      <c r="M23" s="197">
        <f t="shared" si="21"/>
        <v>7</v>
      </c>
      <c r="N23" s="197">
        <f t="shared" si="21"/>
        <v>62</v>
      </c>
      <c r="O23" s="197">
        <f t="shared" si="21"/>
        <v>0</v>
      </c>
      <c r="P23" s="197">
        <f t="shared" si="21"/>
        <v>1</v>
      </c>
      <c r="Q23" s="197">
        <f t="shared" si="21"/>
        <v>2</v>
      </c>
      <c r="R23" s="197">
        <f t="shared" si="21"/>
        <v>38</v>
      </c>
      <c r="S23" s="197">
        <f t="shared" si="21"/>
        <v>390</v>
      </c>
      <c r="T23" s="197">
        <f t="shared" si="21"/>
        <v>183</v>
      </c>
      <c r="U23" s="197">
        <f t="shared" si="21"/>
        <v>184</v>
      </c>
      <c r="V23" s="197">
        <f t="shared" si="21"/>
        <v>389</v>
      </c>
      <c r="W23" s="197">
        <f t="shared" si="21"/>
        <v>18</v>
      </c>
      <c r="X23" s="197">
        <f t="shared" si="21"/>
        <v>129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390</v>
      </c>
      <c r="AZ23" s="197">
        <f>SUBTOTAL(9,AZ15:AZ22)</f>
        <v>183</v>
      </c>
      <c r="BA23" s="197">
        <f>SUBTOTAL(9,BA15:BA22)</f>
        <v>184</v>
      </c>
      <c r="BB23" s="197">
        <f>SUBTOTAL(9,BB15:BB22)</f>
        <v>389</v>
      </c>
      <c r="BC23" s="197">
        <f>SUBTOTAL(9,BC15:BC22)</f>
        <v>18</v>
      </c>
      <c r="BD23" s="219">
        <f>IF(ISNUMBER(BA23/AZ23),BA23/AZ23," - ")</f>
        <v>1.0054644808743169</v>
      </c>
      <c r="BE23" s="220">
        <f>IF(ISNUMBER(BB23/BA23),BB23/BA23, " - ")</f>
        <v>2.1141304347826089</v>
      </c>
      <c r="BF23" s="220">
        <f>IF(ISNUMBER(BC23/BA23),BC23/BA23, " - ")</f>
        <v>9.7826086956521743E-2</v>
      </c>
      <c r="BG23" s="221">
        <f>IF(ISNUMBER((AY23+AZ23)/BA23),(AY23+AZ23)/BA23," - ")</f>
        <v>3.1141304347826089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833</v>
      </c>
      <c r="J31" s="144">
        <f t="shared" si="36"/>
        <v>369</v>
      </c>
      <c r="K31" s="144">
        <f t="shared" si="36"/>
        <v>233</v>
      </c>
      <c r="L31" s="144">
        <f t="shared" si="36"/>
        <v>969</v>
      </c>
      <c r="M31" s="144">
        <f t="shared" si="36"/>
        <v>41</v>
      </c>
      <c r="N31" s="144">
        <f t="shared" si="36"/>
        <v>97</v>
      </c>
      <c r="O31" s="144">
        <f t="shared" si="36"/>
        <v>88</v>
      </c>
      <c r="P31" s="144">
        <f t="shared" si="36"/>
        <v>51</v>
      </c>
      <c r="Q31" s="144">
        <f t="shared" si="36"/>
        <v>34</v>
      </c>
      <c r="R31" s="144">
        <f t="shared" si="36"/>
        <v>722</v>
      </c>
      <c r="S31" s="144">
        <f t="shared" si="36"/>
        <v>901</v>
      </c>
      <c r="T31" s="144">
        <f t="shared" si="36"/>
        <v>312</v>
      </c>
      <c r="U31" s="144">
        <f t="shared" si="36"/>
        <v>309</v>
      </c>
      <c r="V31" s="144">
        <f t="shared" si="36"/>
        <v>904</v>
      </c>
      <c r="W31" s="144">
        <f t="shared" si="36"/>
        <v>54</v>
      </c>
      <c r="X31" s="144">
        <f t="shared" si="36"/>
        <v>187</v>
      </c>
      <c r="Y31" s="144">
        <f t="shared" si="36"/>
        <v>56</v>
      </c>
      <c r="Z31" s="144">
        <f t="shared" si="36"/>
        <v>29</v>
      </c>
      <c r="AA31" s="144">
        <f t="shared" si="36"/>
        <v>32</v>
      </c>
      <c r="AB31" s="144">
        <f t="shared" si="36"/>
        <v>53</v>
      </c>
      <c r="AC31" s="144">
        <f t="shared" si="36"/>
        <v>0</v>
      </c>
      <c r="AD31" s="144">
        <f t="shared" si="36"/>
        <v>0</v>
      </c>
      <c r="AE31" s="144">
        <f t="shared" si="36"/>
        <v>0</v>
      </c>
      <c r="AF31" s="144">
        <f t="shared" si="36"/>
        <v>0</v>
      </c>
      <c r="AG31" s="144">
        <f t="shared" si="36"/>
        <v>30</v>
      </c>
      <c r="AH31" s="144">
        <f t="shared" si="36"/>
        <v>24</v>
      </c>
      <c r="AI31" s="144">
        <f t="shared" si="36"/>
        <v>17</v>
      </c>
      <c r="AJ31" s="144">
        <f t="shared" si="36"/>
        <v>37</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931</v>
      </c>
      <c r="AZ31" s="144">
        <f>SUBTOTAL(9,AZ9:AZ30)</f>
        <v>336</v>
      </c>
      <c r="BA31" s="144">
        <f>SUBTOTAL(9,BA9:BA30)</f>
        <v>326</v>
      </c>
      <c r="BB31" s="144">
        <f>SUBTOTAL(9,BB9:BB30)</f>
        <v>941</v>
      </c>
      <c r="BC31" s="145">
        <f>SUBTOTAL(9,BC9:BC30)</f>
        <v>76</v>
      </c>
      <c r="BD31" s="227">
        <f>IF(ISNUMBER(BA31/AZ31),BA31/AZ31," - ")</f>
        <v>0.97023809523809523</v>
      </c>
      <c r="BE31" s="224">
        <f>IF(ISNUMBER(BB31/BA31),BB31/BA31, " - ")</f>
        <v>2.8865030674846626</v>
      </c>
      <c r="BF31" s="224">
        <f>IF(ISNUMBER(BC31/BA31),BC31/BA31, " - ")</f>
        <v>0.23312883435582821</v>
      </c>
      <c r="BG31" s="145">
        <f>IF(ISNUMBER((AY31+AZ31)/BA31),(AY31+AZ31)/BA31," - ")</f>
        <v>3.8865030674846626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9IHc+FlpWms+pibQeArct2RUEPc8kiCBGIFyn/yTaQLJ766DS0POgFdG553OXjSU4A6HypX2OsekJDJBEvUg==" saltValue="hJq9neKXQgh+XSn7ihNu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uqBt7DmEqMgqDotBL2j1dLaJ+bY+C/eKhNxMMH+gtYjQsCwQ05fREk3wSfj5t4lKVYxSbS3EdWL2OuTmp42fA==" saltValue="Sm8Qo0yqKyd9T6h90FLq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CHANTADA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684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0.75362318840579712</v>
      </c>
      <c r="BH12" s="764">
        <f>IF(ISNUMBER(((IF(J_V="SI",Datos!L12/Datos!K12,(Datos!L12+Datos!AB12)/(Datos!K12+Datos!AA12)))*11)/factor_trimestre),((IF(J_V="SI",Datos!L12/Datos!K12,(Datos!L12+Datos!AB12)/(Datos!K12+Datos!AA12)))*11)/factor_trimestre," - ")</f>
        <v>6.9871794871794881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2.7027027027027029E-2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32</v>
      </c>
      <c r="AD14" s="1198">
        <f t="shared" si="2"/>
        <v>0</v>
      </c>
      <c r="AE14" s="1198">
        <f t="shared" si="2"/>
        <v>0</v>
      </c>
      <c r="AF14" s="1198">
        <f t="shared" si="2"/>
        <v>4</v>
      </c>
      <c r="AG14" s="1198">
        <f t="shared" si="2"/>
        <v>0</v>
      </c>
      <c r="AH14" s="1198">
        <f t="shared" si="2"/>
        <v>53</v>
      </c>
      <c r="AI14" s="1198">
        <f t="shared" si="2"/>
        <v>0</v>
      </c>
      <c r="AJ14" s="1198">
        <f t="shared" si="2"/>
        <v>0</v>
      </c>
      <c r="AK14" s="1198">
        <f t="shared" si="2"/>
        <v>0</v>
      </c>
      <c r="AL14" s="1198">
        <f t="shared" si="2"/>
        <v>0</v>
      </c>
      <c r="AM14" s="1198">
        <f t="shared" si="2"/>
        <v>684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v>
      </c>
      <c r="BD14" s="1198">
        <f t="shared" si="2"/>
        <v>35</v>
      </c>
      <c r="BE14" s="1198">
        <f t="shared" si="2"/>
        <v>0</v>
      </c>
      <c r="BF14" s="1198">
        <f t="shared" si="2"/>
        <v>0</v>
      </c>
      <c r="BG14" s="1198">
        <f>IF(ISNUMBER(Datos!K14/Datos!J14),Datos!K14/Datos!J14," - ")</f>
        <v>0.6966292134831461</v>
      </c>
      <c r="BH14" s="1202">
        <f>IF(ISNUMBER(((Datos!L14/Datos!K14)*11)/factor_trimestre),((Datos!L14/Datos!K14)*11)/factor_trimestre," - ")</f>
        <v>8</v>
      </c>
      <c r="BI14" s="1198">
        <f>IF(ISNUMBER('Resol  Asuntos'!D14/NºAsuntos!G14),'Resol  Asuntos'!D14/NºAsuntos!G14," - ")</f>
        <v>0.21794871794871795</v>
      </c>
      <c r="BJ14" s="1198" t="str">
        <f>IF(ISNUMBER(Datos!CI14/Datos!CJ14),Datos!CI14/Datos!CJ14," - ")</f>
        <v xml:space="preserve"> - </v>
      </c>
      <c r="BK14" s="1198">
        <f>SUBTOTAL(9,BK8:BK13)</f>
        <v>0</v>
      </c>
      <c r="BL14" s="1198">
        <f>IF(ISNUMBER((I14-AB14+L14)/(F14)),(I14-AB14+L14)/(F14)," - ")</f>
        <v>0</v>
      </c>
      <c r="BM14" s="1203">
        <f>SUBTOTAL(9,BM9:BM13)</f>
        <v>2.7027027027027029E-2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367</v>
      </c>
      <c r="G17" s="743">
        <f>IF(ISNUMBER(IF(D_I="SI",Datos!I17,Datos!I17+Datos!AC17)),IF(D_I="SI",Datos!I17,Datos!I17+Datos!AC17)," - ")</f>
        <v>367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102</v>
      </c>
      <c r="AC17" s="240">
        <f>IF(ISNUMBER(Datos!Q17),Datos!Q17," - ")</f>
        <v>2</v>
      </c>
      <c r="AD17" s="374"/>
      <c r="AE17" s="562"/>
      <c r="AF17" s="741">
        <f>IF(ISNUMBER(IF(D_I="SI",Datos!L17,Datos!L17+Datos!AF17)),IF(D_I="SI",Datos!L17,Datos!L17+Datos!AF17)," - ")</f>
        <v>450</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0.55135135135135138</v>
      </c>
      <c r="BH17" s="764">
        <f>IF(ISNUMBER(((IF(D_I="SI",Datos!L17/Datos!K17,(Datos!L17+Datos!AF17)/(Datos!K17+Datos!AE17)))*11)/factor_trimestre),((IF(D_I="SI",Datos!L17/Datos!K17,(Datos!L17+Datos!AF17)/(Datos!K17+Datos!AE17)))*11)/factor_trimestre," - ")</f>
        <v>8.8235294117647065</v>
      </c>
      <c r="BI17" s="266">
        <f>IF(ISNUMBER('Resol  Asuntos'!D17/NºAsuntos!G17),'Resol  Asuntos'!D17/NºAsuntos!G17," - ")</f>
        <v>6.8627450980392163E-2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6.5714285714285703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367</v>
      </c>
      <c r="G23" s="1197">
        <f>SUBTOTAL(9,G16:G22)</f>
        <v>391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v>
      </c>
      <c r="AC23" s="1198">
        <f t="shared" si="5"/>
        <v>2</v>
      </c>
      <c r="AD23" s="1198">
        <f t="shared" si="5"/>
        <v>0</v>
      </c>
      <c r="AE23" s="1198">
        <f t="shared" si="5"/>
        <v>0</v>
      </c>
      <c r="AF23" s="1198">
        <f t="shared" si="5"/>
        <v>473</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62</v>
      </c>
      <c r="BE23" s="1198">
        <f t="shared" si="5"/>
        <v>0</v>
      </c>
      <c r="BF23" s="1198">
        <f t="shared" si="5"/>
        <v>0</v>
      </c>
      <c r="BG23" s="1198">
        <f>IF(ISNUMBER(Datos!K23/Datos!J23),Datos!K23/Datos!J23," - ")</f>
        <v>0.5706806282722513</v>
      </c>
      <c r="BH23" s="1202">
        <f>IF(ISNUMBER(((Datos!L23/Datos!K23)*11)/factor_trimestre),((Datos!L23/Datos!K23)*11)/factor_trimestre," - ")</f>
        <v>8.6788990825688082</v>
      </c>
      <c r="BI23" s="1198">
        <f>SUBTOTAL(9,BI16:BI22)</f>
        <v>6.8627450980392163E-2</v>
      </c>
      <c r="BJ23" s="1198">
        <f>SUBTOTAL(9,BJ16:BJ22)</f>
        <v>0</v>
      </c>
      <c r="BK23" s="1198">
        <f>SUBTOTAL(9,BK16:BK22)</f>
        <v>0</v>
      </c>
      <c r="BL23" s="1198">
        <f>IF(ISNUMBER((I23-AB23+L23)/(F23)),(I23-AB23+L23)/(F23)," - ")</f>
        <v>-0.29700272479564033</v>
      </c>
      <c r="BM23" s="1205">
        <f>IF(ISNUMBER((Datos!P23-Datos!Q23)/(Datos!R23-Datos!P23+Datos!Q23)),(Datos!P23-Datos!Q23)/(Datos!R23-Datos!P23+Datos!Q23)," - ")</f>
        <v>-2.564102564102564E-2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371</v>
      </c>
      <c r="G31" s="1117">
        <f t="shared" si="18"/>
        <v>395</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109</v>
      </c>
      <c r="AC31" s="1118">
        <f t="shared" si="19"/>
        <v>34</v>
      </c>
      <c r="AD31" s="1118">
        <f t="shared" si="19"/>
        <v>0</v>
      </c>
      <c r="AE31" s="1118">
        <f t="shared" si="19"/>
        <v>0</v>
      </c>
      <c r="AF31" s="1125">
        <f t="shared" si="19"/>
        <v>477</v>
      </c>
      <c r="AG31" s="1125">
        <f t="shared" si="19"/>
        <v>0</v>
      </c>
      <c r="AH31" s="1125">
        <f t="shared" si="19"/>
        <v>53</v>
      </c>
      <c r="AI31" s="1125">
        <f t="shared" si="19"/>
        <v>0</v>
      </c>
      <c r="AJ31" s="1118">
        <f t="shared" si="19"/>
        <v>0</v>
      </c>
      <c r="AK31" s="1125">
        <f t="shared" si="19"/>
        <v>0</v>
      </c>
      <c r="AL31" s="1125">
        <f t="shared" si="19"/>
        <v>0</v>
      </c>
      <c r="AM31" s="1125">
        <f t="shared" si="19"/>
        <v>722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v>
      </c>
      <c r="BD31" s="1117">
        <f t="shared" si="19"/>
        <v>97</v>
      </c>
      <c r="BE31" s="1117">
        <f t="shared" si="19"/>
        <v>0</v>
      </c>
      <c r="BF31" s="1127">
        <f t="shared" si="19"/>
        <v>0</v>
      </c>
      <c r="BG31" s="1223">
        <f>IF(ISNUMBER(Datos!K31/Datos!J31),Datos!K31/Datos!J31," - ")</f>
        <v>0.63143631436314362</v>
      </c>
      <c r="BH31" s="1223">
        <f>IF(ISNUMBER(((Datos!L31/Datos!K31)*11)/factor_trimestre),((Datos!L31/Datos!K31)*11)/factor_trimestre," - ")</f>
        <v>8.3175965665236049</v>
      </c>
      <c r="BI31" s="1103">
        <f>IF(ISNUMBER(Datos!J31/Datos!I31),Datos!J31/Datos!I31," - ")</f>
        <v>0.44297719087635051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-0.29380053908355797</v>
      </c>
      <c r="BM31" s="1188">
        <f>IF(ISNUMBER((Datos!P31-Datos!Q31+R31)/(Datos!R31-Datos!P31+Datos!Q31-R31)),(Datos!P31-Datos!Q31+R31)/(Datos!R31-Datos!P31+Datos!Q31-R31)," - ")</f>
        <v>2.4113475177304965E-2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188.4936780549063</v>
      </c>
      <c r="G33" s="674">
        <f>IF(ISNUMBER(STDEV(G8:G30)),STDEV(G8:G30),"-")</f>
        <v>182.12672197440676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50.899995322293734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14.973786619098247</v>
      </c>
      <c r="BD33" s="673"/>
      <c r="BE33" s="673">
        <f>IF(ISNUMBER(STDEV(BE8:BE30)),STDEV(BE8:BE30),"-")</f>
        <v>0</v>
      </c>
      <c r="BF33" s="678">
        <f>IF(ISNUMBER(STDEV(BF8:BF30)),STDEV(BF8:BF30),"-")</f>
        <v>0</v>
      </c>
      <c r="BG33" s="1052">
        <f>IF(ISNUMBER(STDEV(BG8:BG30)),STDEV(BG8:BG30),"-")</f>
        <v>0.24903061371961069</v>
      </c>
      <c r="BH33" s="1058">
        <f>IF(ISNUMBER(STDEV(BH8:BH30)),STDEV(BH8:BH30),"-")</f>
        <v>1.003667761648807</v>
      </c>
      <c r="BI33" s="273">
        <f>IF(ISNUMBER(STDEV(BI8:BI30)),STDEV(BI8:BI30),"-")</f>
        <v>9.1975893240962045E-2</v>
      </c>
      <c r="BJ33" s="244" t="str">
        <f>IF(ISNUMBER(BL33/BM33),BL33/BM33," - ")</f>
        <v xml:space="preserve"> - </v>
      </c>
      <c r="BK33" s="709"/>
      <c r="BL33" s="681">
        <f>IF(ISNUMBER(STDEV(BL8:BL30)),STDEV(BL8:BL30),"-")</f>
        <v>0.21001264073387924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arQOoQel6K443tpKT5hr52uT+DheJ95G81S2aMPRngB5XtBJnf0wYiwZpN5ABoNbSdWUH1vYXiPd3/wC2emQw==" saltValue="BiqX1tIHPDgbn8zkTX67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CHANTADA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684</v>
      </c>
      <c r="AF12" s="693" t="str">
        <f>IF(ISNUMBER(Datos!BV12),Datos!BV12," - ")</f>
        <v xml:space="preserve"> - </v>
      </c>
      <c r="AG12" s="552" t="str">
        <f>IF(ISNUMBER(Datos!DV12),Datos!DV12," - ")</f>
        <v xml:space="preserve"> - </v>
      </c>
      <c r="AH12" s="553"/>
      <c r="AI12" s="554"/>
      <c r="AJ12" s="552">
        <f>IF(ISNUMBER(Datos!M12),Datos!M12," - ")</f>
        <v>34</v>
      </c>
      <c r="AK12" s="693">
        <f>IF(ISNUMBER(Datos!N12),Datos!N12," - ")</f>
        <v>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6.9871794871794881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2.7027027027027029E-2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32</v>
      </c>
      <c r="AA14" s="1199">
        <f t="shared" si="3"/>
        <v>4</v>
      </c>
      <c r="AB14" s="1199">
        <f t="shared" si="3"/>
        <v>0</v>
      </c>
      <c r="AC14" s="1199">
        <f t="shared" si="3"/>
        <v>0</v>
      </c>
      <c r="AD14" s="1199">
        <f t="shared" si="3"/>
        <v>0</v>
      </c>
      <c r="AE14" s="1199">
        <f t="shared" si="3"/>
        <v>684</v>
      </c>
      <c r="AF14" s="1211">
        <f t="shared" si="3"/>
        <v>0</v>
      </c>
      <c r="AG14" s="1211">
        <f t="shared" si="3"/>
        <v>0</v>
      </c>
      <c r="AH14" s="1211">
        <f t="shared" si="3"/>
        <v>0</v>
      </c>
      <c r="AI14" s="1211">
        <f t="shared" si="3"/>
        <v>0</v>
      </c>
      <c r="AJ14" s="1211">
        <f t="shared" si="3"/>
        <v>34</v>
      </c>
      <c r="AK14" s="1211">
        <f t="shared" si="3"/>
        <v>35</v>
      </c>
      <c r="AL14" s="1211">
        <f t="shared" si="3"/>
        <v>0</v>
      </c>
      <c r="AM14" s="1211">
        <f t="shared" si="3"/>
        <v>0</v>
      </c>
      <c r="AN14" s="1211">
        <f t="shared" si="3"/>
        <v>0</v>
      </c>
      <c r="AO14" s="1203">
        <f>IF(ISNUMBER(((NºAsuntos!I14/NºAsuntos!G14)*11)/factor_trimestre),((NºAsuntos!I14/NºAsuntos!G14)*11)/factor_trimestre," - ")</f>
        <v>7.0384615384615383</v>
      </c>
      <c r="AP14" s="1213" t="str">
        <f>IF(ISNUMBER(Datos!CI14/Datos!CJ14),Datos!CI14/Datos!CJ14," - ")</f>
        <v xml:space="preserve"> - </v>
      </c>
      <c r="AQ14" s="1236">
        <f t="shared" ref="AQ14:AV14" si="4">SUBTOTAL(9,AQ9:AQ13)</f>
        <v>0</v>
      </c>
      <c r="AR14" s="1236">
        <f t="shared" si="4"/>
        <v>2.7027027027027029E-2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367</v>
      </c>
      <c r="G17" s="552">
        <f>IF(ISNUMBER(IF(D_I="SI",Datos!I17,Datos!I17+Datos!AC17)),IF(D_I="SI",Datos!I17,Datos!I17+Datos!AC17)," - ")</f>
        <v>367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102</v>
      </c>
      <c r="Z17" s="805">
        <f>IF(ISNUMBER(Datos!Q17),Datos!Q17," - ")</f>
        <v>2</v>
      </c>
      <c r="AA17" s="551">
        <f>IF(ISNUMBER(IF(D_I="SI",Datos!L17,Datos!L17+Datos!AF17)),IF(D_I="SI",Datos!L17,Datos!L17+Datos!AF17)," - ")</f>
        <v>450</v>
      </c>
      <c r="AB17" s="549"/>
      <c r="AC17" s="549"/>
      <c r="AD17" s="563"/>
      <c r="AE17" s="563">
        <f>IF(ISNUMBER(Datos!R17),Datos!R17," - ")</f>
        <v>38</v>
      </c>
      <c r="AF17" s="693" t="str">
        <f>IF(ISNUMBER(Datos!BV17),Datos!BV17," - ")</f>
        <v xml:space="preserve"> - </v>
      </c>
      <c r="AG17" s="552"/>
      <c r="AH17" s="553"/>
      <c r="AI17" s="554"/>
      <c r="AJ17" s="552">
        <f>IF(ISNUMBER(Datos!M17),Datos!M17," - ")</f>
        <v>7</v>
      </c>
      <c r="AK17" s="693">
        <f>IF(ISNUMBER(Datos!N17),Datos!N17," - ")</f>
        <v>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8.8235294117647065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6.5714285714285703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367</v>
      </c>
      <c r="G23" s="1197">
        <f>SUBTOTAL(9,G16:G22)</f>
        <v>391</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v>
      </c>
      <c r="Z23" s="1240">
        <f t="shared" si="6"/>
        <v>2</v>
      </c>
      <c r="AA23" s="1240">
        <f t="shared" si="6"/>
        <v>473</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7</v>
      </c>
      <c r="AK23" s="1240">
        <f t="shared" si="6"/>
        <v>62</v>
      </c>
      <c r="AL23" s="1240">
        <f t="shared" si="6"/>
        <v>0</v>
      </c>
      <c r="AM23" s="1240">
        <f t="shared" si="6"/>
        <v>0</v>
      </c>
      <c r="AN23" s="1240">
        <f t="shared" si="6"/>
        <v>0</v>
      </c>
      <c r="AO23" s="1242">
        <f>IF(ISNUMBER(((NºAsuntos!I23/NºAsuntos!G23)*11)/factor_trimestre),((NºAsuntos!I23/NºAsuntos!G23)*11)/factor_trimestre," - ")</f>
        <v>8.6788990825688082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371</v>
      </c>
      <c r="G31" s="1117">
        <f t="shared" si="12"/>
        <v>395</v>
      </c>
      <c r="H31" s="1118">
        <f t="shared" si="12"/>
        <v>0</v>
      </c>
      <c r="I31" s="1117">
        <f t="shared" si="12"/>
        <v>0</v>
      </c>
      <c r="J31" s="1119">
        <f t="shared" si="12"/>
        <v>0</v>
      </c>
      <c r="K31" s="1117">
        <f t="shared" si="12"/>
        <v>0</v>
      </c>
      <c r="L31" s="1120">
        <f t="shared" si="12"/>
        <v>0</v>
      </c>
      <c r="M31" s="1117">
        <f t="shared" si="12"/>
        <v>0</v>
      </c>
      <c r="N31" s="1118">
        <f t="shared" si="12"/>
        <v>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109</v>
      </c>
      <c r="Z31" s="1124">
        <f t="shared" si="13"/>
        <v>34</v>
      </c>
      <c r="AA31" s="1125">
        <f t="shared" si="13"/>
        <v>477</v>
      </c>
      <c r="AB31" s="1125">
        <f t="shared" si="13"/>
        <v>0</v>
      </c>
      <c r="AC31" s="1125">
        <f t="shared" si="13"/>
        <v>0</v>
      </c>
      <c r="AD31" s="1126">
        <f t="shared" si="13"/>
        <v>0</v>
      </c>
      <c r="AE31" s="1126">
        <f t="shared" si="13"/>
        <v>722</v>
      </c>
      <c r="AF31" s="1127">
        <f t="shared" si="13"/>
        <v>0</v>
      </c>
      <c r="AG31" s="1128">
        <f t="shared" si="13"/>
        <v>0</v>
      </c>
      <c r="AH31" s="1129">
        <f t="shared" si="13"/>
        <v>0</v>
      </c>
      <c r="AI31" s="1127">
        <f t="shared" si="13"/>
        <v>0</v>
      </c>
      <c r="AJ31" s="1117">
        <f t="shared" si="13"/>
        <v>41</v>
      </c>
      <c r="AK31" s="1117">
        <f t="shared" si="13"/>
        <v>97</v>
      </c>
      <c r="AL31" s="1117">
        <f t="shared" si="13"/>
        <v>0</v>
      </c>
      <c r="AM31" s="1130">
        <f t="shared" si="13"/>
        <v>0</v>
      </c>
      <c r="AN31" s="1120">
        <f>IF(ISNUMBER(Datos!K31/Datos!J31),Datos!K31/Datos!J31," - ")</f>
        <v>0.63143631436314362</v>
      </c>
      <c r="AO31" s="1120">
        <f>IF(ISNUMBER(FIND("06",Criterios!A8,1)),(IF(ISNUMBER(((Datos!R31/Datos!Q31)*11)/factor_trimestre),((Datos!R31/Datos!Q31)*11)/factor_trimestre," - ")),(IF(ISNUMBER(((Datos!L31/Datos!K31)*11)/factor_trimestre),((Datos!L31/Datos!K31)*11)/factor_trimestre," - ")))</f>
        <v>8.3175965665236049</v>
      </c>
      <c r="AP31" s="1131" t="str">
        <f>IF(ISNUMBER(Datos!CI31/Datos!CJ31),Datos!CI31/Datos!CJ31," - ")</f>
        <v xml:space="preserve"> - </v>
      </c>
      <c r="AQ31" s="1131">
        <f>IF(OR(ISNUMBER(FIND("01",Criterios!A8,1)),ISNUMBER(FIND("02",Criterios!A8,1)),ISNUMBER(FIND("03",Criterios!A8,1)),ISNUMBER(FIND("04",Criterios!A8,1))),(J31-Y31+K31)/(F31-K31),(I31-Y31+K31)/(F31-K31))</f>
        <v>-0.29380053908355797</v>
      </c>
      <c r="AR31" s="1131">
        <f>IF(ISNUMBER((Datos!P31-Datos!Q31+O31)/(Datos!R31-Datos!P31+Datos!Q31-O31)),(Datos!P31-Datos!Q31+O31)/(Datos!R31-Datos!P31+Datos!Q31-O31)," - ")</f>
        <v>2.4113475177304965E-2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188.4936780549063</v>
      </c>
      <c r="G33" s="674">
        <f>IF(ISNUMBER(STDEV(G8:G30)),STDEV(G8:G30),"-")</f>
        <v>182.12672197440676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14.973786619098247</v>
      </c>
      <c r="AK33" s="276"/>
      <c r="AL33" s="276">
        <f>IF(ISNUMBER(STDEV(AL8:AL30)),STDEV(AL8:AL30),"-")</f>
        <v>0</v>
      </c>
      <c r="AM33" s="278">
        <f>IF(ISNUMBER(STDEV(AM8:AM30)),STDEV(AM8:AM30),"-")</f>
        <v>0</v>
      </c>
      <c r="AN33" s="660">
        <f>IF(ISNUMBER(STDEV(AN8:AN30)),STDEV(AN8:AN30),"-")</f>
        <v>0</v>
      </c>
      <c r="AO33" s="661">
        <f>IF(ISNUMBER(STDEV(AO8:AO30)),STDEV(AO8:AO30),"-")</f>
        <v>1.0497500995685483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lZ1m5AZBGEX+mRdiuQHtQ41eeA5tjdezTt7dRnUuBKNqvSY4cBrcL90OCXF9Cv32dJ5LhrAw9vVOedaqheUQw==" saltValue="UHMpgzJlSgPsZiQi+HLK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Mauocstwqk27yGjNVouSC8/nOoMj/LWymDnH6x2NUmI2+lbSihfTlGPkpX7RoWNnlZ+06HOeEDowhPTBHbJ3g==" saltValue="r1wLnlrVIakdo2dTAPSv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gH6Q1UJrg5wPwxlrjWh1moy/o4JTVtWtO7JDAO6lbsDjQiz42n3Y21WImdtxKsUNWO3KUw7XQDWX4xJqJXskw==" saltValue="sTSfFqMTPg/AYw1/6VbK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CHANTADA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0.21794871794871795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0.15411301641245267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3Y8Pt87Q/4+3tLdk142FxVmTnqvQxFGxFhYr0t4cJSgeyPkua/dpwdebGs49QO2K7em0UhBC93SQid5q4+7Bg==" saltValue="K3ELim6bjA3y928aPTfx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dMOSvDHtcVPTDIuUp5SIV2Gk2crvUCO0CBeRJBYgOxt1Eibnmwhj+oiEeRXyHry36MvgAdoT4A1jimpo4h3kQ==" saltValue="DNX3yfmKvijoQtfN/fFn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CHANTADA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494</v>
      </c>
      <c r="D12" s="452">
        <f>IF(ISNUMBER(C12/Datos!BH12),C12/Datos!BH12," - ")</f>
        <v>494</v>
      </c>
      <c r="E12" s="451">
        <f>IF(ISNUMBER(IF(J_V="SI",Datos!J12,Datos!J12+Datos!Z12)),IF(J_V="SI",Datos!J12,Datos!J12+Datos!Z12)," - ")</f>
        <v>207</v>
      </c>
      <c r="F12" s="452">
        <f>IF(ISNUMBER(E12/B12),E12/B12," - ")</f>
        <v>207</v>
      </c>
      <c r="G12" s="451">
        <f>IF(ISNUMBER(IF(J_V="SI",Datos!K12,Datos!K12+Datos!AA12)),IF(J_V="SI",Datos!K12,Datos!K12+Datos!AA12)," - ")</f>
        <v>156</v>
      </c>
      <c r="H12" s="452">
        <f>IF(ISNUMBER(G12/B12),G12/B12," - ")</f>
        <v>156</v>
      </c>
      <c r="I12" s="451">
        <f>IF(ISNUMBER(IF(J_V="SI",Datos!L12,Datos!L12+Datos!AB12)),IF(J_V="SI",Datos!L12,Datos!L12+Datos!AB12)," - ")</f>
        <v>545</v>
      </c>
      <c r="J12" s="452">
        <f>IF(ISNUMBER(I12/B12),I12/B12," - ")</f>
        <v>545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498</v>
      </c>
      <c r="D14" s="1147" t="str">
        <f>IF(ISNUMBER(C14/Datos!BI14),C14/Datos!BI14," - ")</f>
        <v xml:space="preserve"> - </v>
      </c>
      <c r="E14" s="1146">
        <f>SUBTOTAL(9,E8:E13)</f>
        <v>207</v>
      </c>
      <c r="F14" s="1147">
        <f>IF(ISNUMBER(E14/B14),E14/B14," - ")</f>
        <v>207</v>
      </c>
      <c r="G14" s="1146">
        <f>SUBTOTAL(9,G8:G13)</f>
        <v>156</v>
      </c>
      <c r="H14" s="1147">
        <f>IF(ISNUMBER(G14/B14),G14/B14," - ")</f>
        <v>156</v>
      </c>
      <c r="I14" s="1146">
        <f>SUBTOTAL(9,I8:I13)</f>
        <v>549</v>
      </c>
      <c r="J14" s="1147">
        <f>IF(ISNUMBER(I14/B14),I14/B14," - ")</f>
        <v>549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367</v>
      </c>
      <c r="D17" s="452">
        <f>IF(ISNUMBER(C17/Datos!BH17),C17/Datos!BH17," - ")</f>
        <v>367</v>
      </c>
      <c r="E17" s="451">
        <f>IF(ISNUMBER(IF(D_I="SI",Datos!J17,Datos!J17+Datos!AD17)),IF(D_I="SI",Datos!J17,Datos!J17+Datos!AD17)," - ")</f>
        <v>185</v>
      </c>
      <c r="F17" s="452">
        <f>IF(ISNUMBER(E17/B17),E17/B17," - ")</f>
        <v>185</v>
      </c>
      <c r="G17" s="451">
        <f>IF(ISNUMBER(IF(D_I="SI",Datos!K17,Datos!K17+Datos!AE17)),IF(D_I="SI",Datos!K17,Datos!K17+Datos!AE17)," - ")</f>
        <v>102</v>
      </c>
      <c r="H17" s="452">
        <f>IF(ISNUMBER(G17/B17),G17/B17," - ")</f>
        <v>102</v>
      </c>
      <c r="I17" s="451">
        <f>IF(ISNUMBER(IF(D_I="SI",Datos!L17,Datos!L17+Datos!AF17)),IF(D_I="SI",Datos!L17,Datos!L17+Datos!AF17)," - ")</f>
        <v>450</v>
      </c>
      <c r="J17" s="452">
        <f>IF(ISNUMBER(I17/B17),I17/B17," - ")</f>
        <v>450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6</v>
      </c>
      <c r="F18" s="452">
        <f>IF(ISNUMBER(E18/B18),E18/B18," - ")</f>
        <v>6</v>
      </c>
      <c r="G18" s="451">
        <f>IF(ISNUMBER(IF(D_I="SI",Datos!K18,Datos!K18+Datos!AE18)),IF(D_I="SI",Datos!K18,Datos!K18+Datos!AE18)," - ")</f>
        <v>7</v>
      </c>
      <c r="H18" s="452">
        <f>IF(ISNUMBER(G18/B18),G18/B18," - ")</f>
        <v>7</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391</v>
      </c>
      <c r="D23" s="1147" t="str">
        <f>IF(ISNUMBER(C23/Datos!BI23),C23/Datos!BI23," - ")</f>
        <v xml:space="preserve"> - </v>
      </c>
      <c r="E23" s="1146">
        <f>SUBTOTAL(9,E15:E22)</f>
        <v>191</v>
      </c>
      <c r="F23" s="1147">
        <f>IF(ISNUMBER(E23/B23),E23/B23," - ")</f>
        <v>191</v>
      </c>
      <c r="G23" s="1146">
        <f>SUBTOTAL(9,G15:G22)</f>
        <v>109</v>
      </c>
      <c r="H23" s="1147">
        <f>IF(ISNUMBER(G23/B23),G23/B23," - ")</f>
        <v>109</v>
      </c>
      <c r="I23" s="1146">
        <f>SUBTOTAL(9,I15:I22)</f>
        <v>473</v>
      </c>
      <c r="J23" s="1147">
        <f>IF(ISNUMBER(I23/B23),I23/B23," - ")</f>
        <v>473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889</v>
      </c>
      <c r="D31" s="1085" t="str">
        <f>IF(ISNUMBER(C31/Datos!BI31),C31/Datos!BI31," - ")</f>
        <v xml:space="preserve"> - </v>
      </c>
      <c r="E31" s="1084">
        <f>SUBTOTAL(9,E9:E30)</f>
        <v>398</v>
      </c>
      <c r="F31" s="1085">
        <f>IF(ISNUMBER(E31/B31),E31/B31," - ")</f>
        <v>398</v>
      </c>
      <c r="G31" s="1084">
        <f>SUBTOTAL(9,G9:G30)</f>
        <v>265</v>
      </c>
      <c r="H31" s="1085">
        <f>IF(ISNUMBER(G31/B31),G31/B31," - ")</f>
        <v>265</v>
      </c>
      <c r="I31" s="1084">
        <f>SUBTOTAL(9,I9:I30)</f>
        <v>1022</v>
      </c>
      <c r="J31" s="1085">
        <f>IF(ISNUMBER(I31/B31),I31/B31," - ")</f>
        <v>1022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a+tXHdgbUG8TEJjwXR9W25FbFC9V0rBPFuFjwRluCqCgaNTO2o1rNce8urgjEjTDCpOHEgDzNQE9+g/AopFGg==" saltValue="xv6/hugAbAug7dnYzo3b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CHANTADA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6.9871794871794881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2.7027027027027029E-2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32</v>
      </c>
      <c r="AE14" s="1257">
        <f t="shared" si="1"/>
        <v>0</v>
      </c>
      <c r="AF14" s="1257">
        <f t="shared" si="1"/>
        <v>4</v>
      </c>
      <c r="AG14" s="1257">
        <f t="shared" si="1"/>
        <v>0</v>
      </c>
      <c r="AH14" s="1257">
        <f t="shared" si="1"/>
        <v>684</v>
      </c>
      <c r="AI14" s="1257">
        <f t="shared" si="1"/>
        <v>0</v>
      </c>
      <c r="AJ14" s="1257">
        <f t="shared" si="1"/>
        <v>0</v>
      </c>
      <c r="AK14" s="1257">
        <f t="shared" si="1"/>
        <v>0</v>
      </c>
      <c r="AL14" s="1257">
        <f t="shared" si="1"/>
        <v>34</v>
      </c>
      <c r="AM14" s="1257">
        <f t="shared" si="1"/>
        <v>35</v>
      </c>
      <c r="AN14" s="1257">
        <f t="shared" si="1"/>
        <v>0</v>
      </c>
      <c r="AO14" s="1257">
        <f t="shared" si="1"/>
        <v>0</v>
      </c>
      <c r="AP14" s="1262">
        <f>IF(ISNUMBER(((Datos!L14/Datos!K14)*11)/factor_trimestre),((Datos!L14/Datos!K14)*11)/factor_trimestre," - ")</f>
        <v>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2.7027027027027029E-2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8.6788990825688082</v>
      </c>
      <c r="AQ23" s="1262">
        <f>IF(ISNUMBER(((Datos!M23/Datos!L23)*11)/factor_trimestre),((Datos!M23/Datos!L23)*11)/factor_trimestre," - ")</f>
        <v>2.9598308668076109E-2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-2.564102564102564E-2</v>
      </c>
      <c r="AW23" s="1265">
        <f>IF(ISNUMBER((Datos!Q23-Datos!R23)/(Datos!S23-Datos!Q23+Datos!R23)),(Datos!Q23-Datos!R23)/(Datos!S23-Datos!Q23+Datos!R23)," - ")</f>
        <v>-8.4507042253521125E-2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32</v>
      </c>
      <c r="AE31" s="1284">
        <f t="shared" si="9"/>
        <v>0</v>
      </c>
      <c r="AF31" s="1285">
        <f t="shared" si="9"/>
        <v>4</v>
      </c>
      <c r="AG31" s="1285">
        <f t="shared" si="9"/>
        <v>0</v>
      </c>
      <c r="AH31" s="1285">
        <f t="shared" si="9"/>
        <v>684</v>
      </c>
      <c r="AI31" s="1285">
        <f t="shared" si="9"/>
        <v>0</v>
      </c>
      <c r="AJ31" s="1286">
        <f t="shared" si="9"/>
        <v>0</v>
      </c>
      <c r="AK31" s="1286">
        <f t="shared" si="9"/>
        <v>0</v>
      </c>
      <c r="AL31" s="1278">
        <f t="shared" si="9"/>
        <v>34</v>
      </c>
      <c r="AM31" s="1278">
        <f t="shared" si="9"/>
        <v>35</v>
      </c>
      <c r="AN31" s="1278">
        <f t="shared" si="9"/>
        <v>0</v>
      </c>
      <c r="AO31" s="1278">
        <f t="shared" si="9"/>
        <v>0</v>
      </c>
      <c r="AP31" s="1278">
        <f>IF(ISNUMBER(((Datos!L31/Datos!K31)*11)/factor_trimestre),((Datos!L31/Datos!K31)*11)/factor_trimestre," - ")</f>
        <v>8.3175965665236049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2.4113475177304965E-2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17.557524502806956</v>
      </c>
      <c r="AM33" s="1006"/>
      <c r="AN33" s="1006">
        <f>IF(ISNUMBER(STDEV(AN8:AN30)),STDEV(AN8:AN30),"-")</f>
        <v>0</v>
      </c>
      <c r="AO33" s="1012">
        <f>IF(ISNUMBER(STDEV(AO8:AO30)),STDEV(AO8:AO30),"-")</f>
        <v>0</v>
      </c>
      <c r="AP33" s="1065">
        <f>IF(ISNUMBER(STDEV(AP8:AP30)),STDEV(AP8:AP30),"-")</f>
        <v>0.85133469181505217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fI8xo1jxLlVaT95Xkdgg1/h/wOU4vGvGdN2h6UqL4p1m/8T1bqKs3r09T8QlwMV7AIHx/LDkudqEIPYZJ/+FA==" saltValue="kdRYzfqwZxfwMnTVTtUG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CHANTADA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AWpeOrJ+wKHgFi7gV+e0aCEJA22QFKwzGwqQDCtka0dJnY2Uq/x0e/dJYrfwaHPi8FhHWy159aD6yv6Peb9eQ==" saltValue="uCTgKP5M34UxvjoqoDCp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CHANTADA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34</v>
      </c>
      <c r="E12" s="452">
        <f t="shared" si="0"/>
        <v>34</v>
      </c>
      <c r="F12" s="451">
        <f>IF(ISNUMBER(Datos!N12),Datos!N12," - ")</f>
        <v>35</v>
      </c>
      <c r="G12" s="452">
        <f t="shared" si="1"/>
        <v>35</v>
      </c>
      <c r="H12" s="451">
        <f>IF(ISNUMBER(Datos!O12),Datos!O12," - ")</f>
        <v>88</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34</v>
      </c>
      <c r="E14" s="1147">
        <f t="shared" si="0"/>
        <v>17</v>
      </c>
      <c r="F14" s="1146">
        <f>SUBTOTAL(9,F9:F13)</f>
        <v>35</v>
      </c>
      <c r="G14" s="1147">
        <f t="shared" si="1"/>
        <v>17.5</v>
      </c>
      <c r="H14" s="1146">
        <f>SUBTOTAL(9,H9:H13)</f>
        <v>88</v>
      </c>
      <c r="I14" s="1147">
        <f>IF(ISNUMBER(H14/B14),H14/B14," - ")</f>
        <v>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53</v>
      </c>
      <c r="G17" s="452">
        <f t="shared" si="4"/>
        <v>53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62</v>
      </c>
      <c r="G23" s="1147">
        <f t="shared" si="4"/>
        <v>31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41</v>
      </c>
      <c r="E31" s="1085">
        <f>IF(ISNUMBER(D31/B31),D31/B31," - ")</f>
        <v>41</v>
      </c>
      <c r="F31" s="1084">
        <f>SUBTOTAL(9,F8:F30)</f>
        <v>97</v>
      </c>
      <c r="G31" s="1085">
        <f>IF(ISNUMBER(F31/B31),F31/B31," - ")</f>
        <v>97</v>
      </c>
      <c r="H31" s="1084">
        <f>SUBTOTAL(9,H8:H30)</f>
        <v>88</v>
      </c>
      <c r="I31" s="1085">
        <f>IF(ISNUMBER(H31/B31),H31/B31," - ")</f>
        <v>88</v>
      </c>
    </row>
    <row r="34" spans="1:1">
      <c r="A34" s="439" t="str">
        <f>Criterios!A4</f>
        <v>Fecha Informe: 06 may. 2023</v>
      </c>
    </row>
    <row r="39" spans="1:1">
      <c r="A39" s="462"/>
    </row>
  </sheetData>
  <sheetProtection algorithmName="SHA-512" hashValue="/IY9nzNMrGIjavk2XVmNNI7ZSl5QKV/mLtWbgeR+xe8hNlH+zapc9hPYmp6hZ0CP+3k1ihFjD1KZ5I4F7LmGbg==" saltValue="+clyx0uVolpOdl63lX2V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CHANTADA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50</v>
      </c>
      <c r="C12" s="489">
        <f>IF(ISNUMBER(Datos!Q12),Datos!Q12," - ")</f>
        <v>32</v>
      </c>
      <c r="D12" s="456">
        <f>IF(ISNUMBER(Datos!R12),Datos!R12," - ")</f>
        <v>684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v>
      </c>
      <c r="C14" s="1150">
        <f>SUBTOTAL(9,C9:C13)</f>
        <v>32</v>
      </c>
      <c r="D14" s="1148">
        <f>SUBTOTAL(9,D9:D13)</f>
        <v>684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2</v>
      </c>
      <c r="D17" s="456">
        <f>IF(ISNUMBER(Datos!R17),Datos!R17," - ")</f>
        <v>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2</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v>
      </c>
      <c r="C31" s="1089">
        <f>SUBTOTAL(9,C8:C30)</f>
        <v>34</v>
      </c>
      <c r="D31" s="1090">
        <f>SUBTOTAL(9,D8:D30)</f>
        <v>722</v>
      </c>
    </row>
    <row r="32" spans="1:4" ht="7.5" customHeight="1"/>
    <row r="33" spans="1:1" ht="6" customHeight="1"/>
    <row r="34" spans="1:1">
      <c r="A34" s="439" t="str">
        <f>Criterios!A4</f>
        <v>Fecha Informe: 06 may. 2023</v>
      </c>
    </row>
    <row r="39" spans="1:1">
      <c r="A39" s="462"/>
    </row>
  </sheetData>
  <sheetProtection algorithmName="SHA-512" hashValue="tldYu5rICeG4n1jt7UirTfHdxoogbwhXWmlapmGya0kbO9yJC01gu9dp3OljEqGhpWlJVOzfM5CVBnfSNrXNdg==" saltValue="qJnJJst/v6LeeBVMavBH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CHANTADA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-8.5185185185185183E-2</v>
      </c>
      <c r="C12" s="515">
        <f>IF(ISNUMBER(
   IF(J_V="SI",(Datos!J12-Datos!T12)/Datos!T12,(Datos!J12+Datos!Z12-(Datos!T12+Datos!AH12))/(Datos!T12+Datos!AH12))
     ),IF(J_V="SI",(Datos!J12-Datos!T12)/Datos!T12,(Datos!J12+Datos!Z12-(Datos!T12+Datos!AH12))/(Datos!T12+Datos!AH12))," - ")</f>
        <v>0.35294117647058826</v>
      </c>
      <c r="D12" s="515">
        <f>IF(ISNUMBER(
   IF(J_V="SI",(Datos!K12-Datos!U12)/Datos!U12,(Datos!K12+Datos!AA12-(Datos!U12+Datos!AI12))/(Datos!U12+Datos!AI12))
     ),IF(J_V="SI",(Datos!K12-Datos!U12)/Datos!U12,(Datos!K12+Datos!AA12-(Datos!U12+Datos!AI12))/(Datos!U12+Datos!AI12))," - ")</f>
        <v>9.8591549295774641E-2</v>
      </c>
      <c r="E12" s="515">
        <f>IF(ISNUMBER(
   IF(J_V="SI",(Datos!L12-Datos!V12)/Datos!V12,(Datos!L12+Datos!AB12-(Datos!V12+Datos!AJ12))/(Datos!V12+Datos!AJ12))
     ),IF(J_V="SI",(Datos!L12-Datos!V12)/Datos!V12,(Datos!L12+Datos!AB12-(Datos!V12+Datos!AJ12))/(Datos!V12+Datos!AJ12))," - ")</f>
        <v>-1.0889292196007259E-2</v>
      </c>
      <c r="F12" s="515">
        <f>IF(ISNUMBER((Datos!M12-Datos!W12)/Datos!W12),(Datos!M12-Datos!W12)/Datos!W12," - ")</f>
        <v>-5.5555555555555552E-2</v>
      </c>
      <c r="G12" s="516">
        <f>IF(ISNUMBER((Datos!N12-Datos!X12)/Datos!X12),(Datos!N12-Datos!X12)/Datos!X12," - ")</f>
        <v>-0.39655172413793105</v>
      </c>
      <c r="H12" s="514">
        <f>IF(ISNUMBER(((NºAsuntos!G12/NºAsuntos!E12)-Datos!BD12)/Datos!BD12),((NºAsuntos!G12/NºAsuntos!E12)-Datos!BD12)/Datos!BD12," - ")</f>
        <v>-0.18799755052051439</v>
      </c>
      <c r="I12" s="515">
        <f>IF(ISNUMBER(((NºAsuntos!I12/NºAsuntos!G12)-Datos!BE12)/Datos!BE12),((NºAsuntos!I12/NºAsuntos!G12)-Datos!BE12)/Datos!BE12," - ")</f>
        <v>-9.9655637768160429E-2</v>
      </c>
      <c r="J12" s="521">
        <f>IF(ISNUMBER((('Resol  Asuntos'!D12/NºAsuntos!G12)-Datos!BF12)/Datos!BF12),(('Resol  Asuntos'!D12/NºAsuntos!G12)-Datos!BF12)/Datos!BF12," - ")</f>
        <v>-0.46640141467727675</v>
      </c>
      <c r="K12" s="522">
        <f>IF(ISNUMBER((((NºAsuntos!C12+NºAsuntos!E12)/NºAsuntos!G12)-Datos!BG12)/Datos!BG12),(((NºAsuntos!C12+NºAsuntos!E12)/NºAsuntos!G12)-Datos!BG12)/Datos!BG12," - ")</f>
        <v>-7.9235579235579223E-2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-7.9482439926062853E-2</v>
      </c>
      <c r="C14" s="1152">
        <f>IF(ISNUMBER(
   IF(J_V="SI",(Datos!J14-Datos!T14)/Datos!T14,(Datos!J14+Datos!Z14-(Datos!T14+Datos!AH14))/(Datos!T14+Datos!AH14))
     ),IF(J_V="SI",(Datos!J14-Datos!T14)/Datos!T14,(Datos!J14+Datos!Z14-(Datos!T14+Datos!AH14))/(Datos!T14+Datos!AH14))," - ")</f>
        <v>0.35294117647058826</v>
      </c>
      <c r="D14" s="1152">
        <f>IF(ISNUMBER(
   IF(J_V="SI",(Datos!K14-Datos!U14)/Datos!U14,(Datos!K14+Datos!AA14-(Datos!U14+Datos!AI14))/(Datos!U14+Datos!AI14))
     ),IF(J_V="SI",(Datos!K14-Datos!U14)/Datos!U14,(Datos!K14+Datos!AA14-(Datos!U14+Datos!AI14))/(Datos!U14+Datos!AI14))," - ")</f>
        <v>9.8591549295774641E-2</v>
      </c>
      <c r="E14" s="1152">
        <f>IF(ISNUMBER(
   IF(J_V="SI",(Datos!L14-Datos!V14)/Datos!V14,(Datos!L14+Datos!AB14-(Datos!V14+Datos!AJ14))/(Datos!V14+Datos!AJ14))
     ),IF(J_V="SI",(Datos!L14-Datos!V14)/Datos!V14,(Datos!L14+Datos!AB14-(Datos!V14+Datos!AJ14))/(Datos!V14+Datos!AJ14))," - ")</f>
        <v>-5.434782608695652E-3</v>
      </c>
      <c r="F14" s="1153">
        <f>IF(ISNUMBER((Datos!M14-Datos!W14)/Datos!W14),(Datos!M14-Datos!W14)/Datos!W14," - ")</f>
        <v>-5.5555555555555552E-2</v>
      </c>
      <c r="G14" s="1154">
        <f>IF(ISNUMBER((Datos!N14-Datos!X14)/Datos!X14),(Datos!N14-Datos!X14)/Datos!X14," - ")</f>
        <v>-0.39655172413793105</v>
      </c>
      <c r="H14" s="1154">
        <f>IF(ISNUMBER(((NºAsuntos!G14/NºAsuntos!E14)-Datos!BD14)/Datos!BD14),((NºAsuntos!G14/NºAsuntos!E14)-Datos!BD14)/Datos!BD14," - ")</f>
        <v>-0.18799755052051439</v>
      </c>
      <c r="I14" s="1154">
        <f>IF(ISNUMBER(((NºAsuntos!I14/NºAsuntos!G14)-Datos!BE14)/Datos!BE14),((NºAsuntos!I14/NºAsuntos!G14)-Datos!BE14)/Datos!BE14," - ")</f>
        <v>-9.4690635451505065E-2</v>
      </c>
      <c r="J14" s="1154">
        <f>IF(ISNUMBER((('Resol  Asuntos'!D14/NºAsuntos!G14)-Datos!BF14)/Datos!BF14),(('Resol  Asuntos'!D14/NºAsuntos!G14)-Datos!BF14)/Datos!BF14," - ")</f>
        <v>-0.46640141467727675</v>
      </c>
      <c r="K14" s="1154">
        <f>IF(ISNUMBER((((NºAsuntos!C14+NºAsuntos!E14)/NºAsuntos!G14)-Datos!BG14)/Datos!BG14),(((NºAsuntos!C14+NºAsuntos!E14)/NºAsuntos!G14)-Datos!BG14)/Datos!BG14," - ")</f>
        <v>-7.5315894480159656E-2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-1.3440860215053764E-2</v>
      </c>
      <c r="C17" s="515">
        <f>IF(ISNUMBER(
   IF(D_I="SI",(Datos!J17-Datos!T17)/Datos!T17,(Datos!J17+Datos!AD17-(Datos!T17+Datos!AL17))/(Datos!T17+Datos!AL17))
     ),IF(D_I="SI",(Datos!J17-Datos!T17)/Datos!T17,(Datos!J17+Datos!AD17-(Datos!T17+Datos!AL17))/(Datos!T17+Datos!AL17))," - ")</f>
        <v>5.7142857142857141E-2</v>
      </c>
      <c r="D17" s="515">
        <f>IF(ISNUMBER(
   IF(D_I="SI",(Datos!K17-Datos!U17)/Datos!U17,(Datos!K17+Datos!AE17-(Datos!U17+Datos!AM17))/(Datos!U17+Datos!AM17))
     ),IF(D_I="SI",(Datos!K17-Datos!U17)/Datos!U17,(Datos!K17+Datos!AE17-(Datos!U17+Datos!AM17))/(Datos!U17+Datos!AM17))," - ")</f>
        <v>-0.42372881355932202</v>
      </c>
      <c r="E17" s="515">
        <f>IF(ISNUMBER(
   IF(D_I="SI",(Datos!L17-Datos!V17)/Datos!V17,(Datos!L17+Datos!AF17-(Datos!V17+Datos!AN17))/(Datos!V17+Datos!AN17))
     ),IF(D_I="SI",(Datos!L17-Datos!V17)/Datos!V17,(Datos!L17+Datos!AF17-(Datos!V17+Datos!AN17))/(Datos!V17+Datos!AN17))," - ")</f>
        <v>0.21621621621621623</v>
      </c>
      <c r="F17" s="515">
        <f>IF(ISNUMBER((Datos!M17-Datos!W17)/Datos!W17),(Datos!M17-Datos!W17)/Datos!W17," - ")</f>
        <v>-0.58823529411764708</v>
      </c>
      <c r="G17" s="516">
        <f>IF(ISNUMBER((Datos!N17-Datos!X17)/Datos!X17),(Datos!N17-Datos!X17)/Datos!X17," - ")</f>
        <v>-0.56198347107438018</v>
      </c>
      <c r="H17" s="514">
        <f>IF(ISNUMBER(((NºAsuntos!G17/NºAsuntos!E17)-Datos!BD17)/Datos!BD17),((NºAsuntos!G17/NºAsuntos!E17)-Datos!BD17)/Datos!BD17," - ")</f>
        <v>-0.45487860742098024</v>
      </c>
      <c r="I17" s="515">
        <f>IF(ISNUMBER(((NºAsuntos!I17/NºAsuntos!G17)-Datos!BE17)/Datos!BE17),((NºAsuntos!I17/NºAsuntos!G17)-Datos!BE17)/Datos!BE17," - ")</f>
        <v>1.1104928457869636</v>
      </c>
      <c r="J17" s="521">
        <f>IF(ISNUMBER((('Resol  Asuntos'!D17/NºAsuntos!G17)-Datos!BF17)/Datos!BF17),(('Resol  Asuntos'!D17/NºAsuntos!G17)-Datos!BF17)/Datos!BF17," - ")</f>
        <v>-0.28546712802768165</v>
      </c>
      <c r="K17" s="522">
        <f>IF(ISNUMBER((((NºAsuntos!C17+NºAsuntos!E17)/NºAsuntos!G17)-Datos!BG17)/Datos!BG17),(((NºAsuntos!C17+NºAsuntos!E17)/NºAsuntos!G17)-Datos!BG17)/Datos!BG17," - ")</f>
        <v>0.75115603828368649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0.21052631578947367</v>
      </c>
      <c r="F18" s="515">
        <f>IF(ISNUMBER((Datos!M18-Datos!W18)/Datos!W18),(Datos!M18-Datos!W18)/Datos!W18," - ")</f>
        <v>-1</v>
      </c>
      <c r="G18" s="516">
        <f>IF(ISNUMBER((Datos!N18-Datos!X18)/Datos!X18),(Datos!N18-Datos!X18)/Datos!X18," - ")</f>
        <v>0.125</v>
      </c>
      <c r="H18" s="514">
        <f>IF(ISNUMBER(((NºAsuntos!G18/NºAsuntos!E18)-Datos!BD18)/Datos!BD18),((NºAsuntos!G18/NºAsuntos!E18)-Datos!BD18)/Datos!BD18," - ")</f>
        <v>0.33333333333333343</v>
      </c>
      <c r="I18" s="515">
        <f>IF(ISNUMBER(((NºAsuntos!I18/NºAsuntos!G18)-Datos!BE18)/Datos!BE18),((NºAsuntos!I18/NºAsuntos!G18)-Datos!BE18)/Datos!BE18," - ")</f>
        <v>0.21052631578947359</v>
      </c>
      <c r="J18" s="521">
        <f>IF(ISNUMBER((('Resol  Asuntos'!D18/NºAsuntos!G18)-Datos!BF18)/Datos!BF18),(('Resol  Asuntos'!D18/NºAsuntos!G18)-Datos!BF18)/Datos!BF18," - ")</f>
        <v>-1</v>
      </c>
      <c r="K18" s="522">
        <f>IF(ISNUMBER((((NºAsuntos!C18+NºAsuntos!E18)/NºAsuntos!G18)-Datos!BG18)/Datos!BG18),(((NºAsuntos!C18+NºAsuntos!E18)/NºAsuntos!G18)-Datos!BG18)/Datos!BG18," - ")</f>
        <v>0.15384615384615377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2.5641025641025641E-3</v>
      </c>
      <c r="C23" s="1152">
        <f>IF(ISNUMBER(
   IF(Criterios!B14="SI",(Datos!J23-Datos!T23)/Datos!T23,(Datos!J23+Datos!AD23-(Datos!T23+Datos!AL23))/(Datos!T23+Datos!AL23))
     ),IF(Criterios!B14="SI",(Datos!J23-Datos!T23)/Datos!T23,(Datos!J23+Datos!AD23-(Datos!T23+Datos!AL23))/(Datos!T23+Datos!AL23))," - ")</f>
        <v>4.3715846994535519E-2</v>
      </c>
      <c r="D23" s="1152">
        <f>IF(ISNUMBER(
   IF(Criterios!B14="SI",(Datos!K23-Datos!U23)/Datos!U23,(Datos!K23+Datos!AE23-(Datos!U23+Datos!AM23))/(Datos!U23+Datos!AM23))
     ),IF(Criterios!B14="SI",(Datos!K23-Datos!U23)/Datos!U23,(Datos!K23+Datos!AE23-(Datos!U23+Datos!AM23))/(Datos!U23+Datos!AM23))," - ")</f>
        <v>-0.40760869565217389</v>
      </c>
      <c r="E23" s="1152">
        <f>IF(ISNUMBER(
   IF(Criterios!B14="SI",(Datos!L23-Datos!V23)/Datos!V23,(Datos!L23+Datos!AF23-(Datos!V23+Datos!AN23))/(Datos!V23+Datos!AN23))
     ),IF(Criterios!B14="SI",(Datos!L23-Datos!V23)/Datos!V23,(Datos!L23+Datos!AF23-(Datos!V23+Datos!AN23))/(Datos!V23+Datos!AN23))," - ")</f>
        <v>0.21593830334190231</v>
      </c>
      <c r="F23" s="1153">
        <f>IF(ISNUMBER((Datos!M23-Datos!W23)/Datos!W23),(Datos!M23-Datos!W23)/Datos!W23," - ")</f>
        <v>-0.61111111111111116</v>
      </c>
      <c r="G23" s="1154">
        <f>IF(ISNUMBER((Datos!N23-Datos!X23)/Datos!X23),(Datos!N23-Datos!X23)/Datos!X23," - ")</f>
        <v>-0.51937984496124034</v>
      </c>
      <c r="H23" s="1154">
        <f>IF(ISNUMBER(((NºAsuntos!G23/NºAsuntos!E23)-Datos!BD23)/Datos!BD23),((NºAsuntos!G23/NºAsuntos!E23)-Datos!BD23)/Datos!BD23," - ")</f>
        <v>-0.43242089688140223</v>
      </c>
      <c r="I23" s="1154">
        <f>IF(ISNUMBER(((NºAsuntos!I23/NºAsuntos!G23)-Datos!BE23)/Datos!BE23),((NºAsuntos!I23/NºAsuntos!G23)-Datos!BE23)/Datos!BE23," - ")</f>
        <v>1.052593099219358</v>
      </c>
      <c r="J23" s="1154">
        <f>IF(ISNUMBER((('Resol  Asuntos'!D23/NºAsuntos!G23)-Datos!BF23)/Datos!BF23),(('Resol  Asuntos'!D23/NºAsuntos!G23)-Datos!BF23)/Datos!BF23," - ")</f>
        <v>-0.34352701325178386</v>
      </c>
      <c r="K23" s="1154">
        <f>IF(ISNUMBER((((NºAsuntos!C23+NºAsuntos!E23)/NºAsuntos!G23)-Datos!BG23)/Datos!BG23),(((NºAsuntos!C23+NºAsuntos!E23)/NºAsuntos!G23)-Datos!BG23)/Datos!BG23," - ")</f>
        <v>0.7145876362937702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-4.5112781954887216E-2</v>
      </c>
      <c r="C31" s="1092">
        <f>IF(ISNUMBER(
   IF(J_V="SI",(Datos!J31-Datos!T31)/Datos!T31,(Datos!J31+Datos!Z31-(Datos!T31+Datos!AH31))/(Datos!T31+Datos!AH31))
     ),IF(J_V="SI",(Datos!J31-Datos!T31)/Datos!T31,(Datos!J31+Datos!Z31-(Datos!T31+Datos!AH31))/(Datos!T31+Datos!AH31))," - ")</f>
        <v>0.18452380952380953</v>
      </c>
      <c r="D31" s="1092">
        <f>IF(ISNUMBER(
   IF(J_V="SI",(Datos!K31-Datos!U31)/Datos!U31,(Datos!K31+Datos!AA31-(Datos!U31+Datos!AI31))/(Datos!U31+Datos!AI31))
     ),IF(J_V="SI",(Datos!K31-Datos!U31)/Datos!U31,(Datos!K31+Datos!AA31-(Datos!U31+Datos!AI31))/(Datos!U31+Datos!AI31))," - ")</f>
        <v>-0.18711656441717792</v>
      </c>
      <c r="E31" s="1092">
        <f>IF(ISNUMBER(
   IF(J_V="SI",(Datos!L31-Datos!V31)/Datos!V31,(Datos!L31+Datos!AB31-(Datos!V31+Datos!AJ31))/(Datos!V31+Datos!AJ31))
     ),IF(J_V="SI",(Datos!L31-Datos!V31)/Datos!V31,(Datos!L31+Datos!AB31-(Datos!V31+Datos!AJ31))/(Datos!V31+Datos!AJ31))," - ")</f>
        <v>8.6078639744952182E-2</v>
      </c>
      <c r="F31" s="1093">
        <f>IF(ISNUMBER((Datos!M31-Datos!W31)/Datos!W31),(Datos!M31-Datos!W31)/Datos!W31," - ")</f>
        <v>-0.24074074074074073</v>
      </c>
      <c r="G31" s="1094">
        <f>IF(ISNUMBER((Datos!N31-Datos!X31)/Datos!X31),(Datos!N31-Datos!X31)/Datos!X31," - ")</f>
        <v>-0.48128342245989303</v>
      </c>
      <c r="H31" s="1095">
        <f>IF(ISNUMBER((Tasas!B31-Datos!BD31)/Datos!BD31),(Tasas!B31-Datos!BD31)/Datos!BD31," - ")</f>
        <v>-0.31374664734716523</v>
      </c>
      <c r="I31" s="1096">
        <f>IF(ISNUMBER((Tasas!C31-Datos!BE31)/Datos!BE31),(Tasas!C31-Datos!BE31)/Datos!BE31," - ")</f>
        <v>0.33608164738435631</v>
      </c>
      <c r="J31" s="1097">
        <f>IF(ISNUMBER((Tasas!D31-Datos!BF31)/Datos!BF31),(Tasas!D31-Datos!BF31)/Datos!BF31," - ")</f>
        <v>-0.33634558093346573</v>
      </c>
      <c r="K31" s="1097">
        <f>IF(ISNUMBER((Tasas!E31-Datos!BG31)/Datos!BG31),(Tasas!E31-Datos!BG31)/Datos!BG31," - ")</f>
        <v>0.24960760078033079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W4iyMg9jUMWkWcjazXi8Oq1AtV0GXX/4QwtbaTlhHijyw6NoJwARflOeEnnsmftRQUWI2KI49kR8aTvwQmvVQ==" saltValue="b5uu7WePtD+QXQoSLzM36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CHANTADA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0.75362318840579712</v>
      </c>
      <c r="C12" s="498">
        <f>IF(ISNUMBER(NºAsuntos!I12/NºAsuntos!G12),NºAsuntos!I12/NºAsuntos!G12," - ")</f>
        <v>3.4935897435897436</v>
      </c>
      <c r="D12" s="499">
        <f>IF(ISNUMBER('Resol  Asuntos'!D12/NºAsuntos!G12),'Resol  Asuntos'!D12/NºAsuntos!G12," - ")</f>
        <v>0.21794871794871795</v>
      </c>
      <c r="E12" s="500">
        <f>IF(ISNUMBER((NºAsuntos!C12+NºAsuntos!E12)/NºAsuntos!G12),(NºAsuntos!C12+NºAsuntos!E12)/NºAsuntos!G12," - ")</f>
        <v>4.4935897435897436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0.75362318840579712</v>
      </c>
      <c r="C14" s="1156">
        <f>IF(ISNUMBER(NºAsuntos!I14/NºAsuntos!G14),NºAsuntos!I14/NºAsuntos!G14," - ")</f>
        <v>3.5192307692307692</v>
      </c>
      <c r="D14" s="1157">
        <f>IF(ISNUMBER('Resol  Asuntos'!D14/NºAsuntos!G14),'Resol  Asuntos'!D14/NºAsuntos!G14," - ")</f>
        <v>0.21794871794871795</v>
      </c>
      <c r="E14" s="1158">
        <f>IF(ISNUMBER((NºAsuntos!C14+NºAsuntos!E14)/NºAsuntos!G14),(NºAsuntos!C14+NºAsuntos!E14)/NºAsuntos!G14," - ")</f>
        <v>4.5192307692307692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0.55135135135135138</v>
      </c>
      <c r="C17" s="498">
        <f>IF(ISNUMBER(NºAsuntos!I17/NºAsuntos!G17),NºAsuntos!I17/NºAsuntos!G17," - ")</f>
        <v>4.4117647058823533</v>
      </c>
      <c r="D17" s="499">
        <f>IF(ISNUMBER('Resol  Asuntos'!D17/NºAsuntos!G17),'Resol  Asuntos'!D17/NºAsuntos!G17," - ")</f>
        <v>6.8627450980392163E-2</v>
      </c>
      <c r="E17" s="500">
        <f>IF(ISNUMBER((NºAsuntos!C17+NºAsuntos!E17)/NºAsuntos!G17),(NºAsuntos!C17+NºAsuntos!E17)/NºAsuntos!G17," - ")</f>
        <v>5.4117647058823533</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3.2857142857142856</v>
      </c>
      <c r="D18" s="499">
        <f>IF(ISNUMBER('Resol  Asuntos'!D18/NºAsuntos!G18),'Resol  Asuntos'!D18/NºAsuntos!G18," - ")</f>
        <v>0</v>
      </c>
      <c r="E18" s="500">
        <f>IF(ISNUMBER((NºAsuntos!C18+NºAsuntos!E18)/NºAsuntos!G18),(NºAsuntos!C18+NºAsuntos!E18)/NºAsuntos!G18," - ")</f>
        <v>4.2857142857142856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0.5706806282722513</v>
      </c>
      <c r="C23" s="1156">
        <f>IF(ISNUMBER(NºAsuntos!I23/NºAsuntos!G23),NºAsuntos!I23/NºAsuntos!G23," - ")</f>
        <v>4.3394495412844041</v>
      </c>
      <c r="D23" s="1159">
        <f>IF(ISNUMBER('Resol  Asuntos'!D23/NºAsuntos!G23),'Resol  Asuntos'!D23/NºAsuntos!G23," - ")</f>
        <v>6.4220183486238536E-2</v>
      </c>
      <c r="E23" s="1158">
        <f>IF(ISNUMBER((NºAsuntos!C23+NºAsuntos!E23)/NºAsuntos!G23),(NºAsuntos!C23+NºAsuntos!E23)/NºAsuntos!G23," - ")</f>
        <v>5.3394495412844041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0.66582914572864327</v>
      </c>
      <c r="C31" s="1099">
        <f>IF(ISNUMBER(NºAsuntos!I31/NºAsuntos!G31),NºAsuntos!I31/NºAsuntos!G31," - ")</f>
        <v>3.8566037735849057</v>
      </c>
      <c r="D31" s="1100">
        <f>IF(ISNUMBER('Resol  Asuntos'!D31/NºAsuntos!G31),'Resol  Asuntos'!D31/NºAsuntos!G31," - ")</f>
        <v>0.15471698113207547</v>
      </c>
      <c r="E31" s="1101">
        <f>IF(ISNUMBER((NºAsuntos!C31+NºAsuntos!E31)/NºAsuntos!G31),(NºAsuntos!C31+NºAsuntos!E31)/NºAsuntos!G31," - ")</f>
        <v>4.8566037735849052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pINcn/xHiVWqB3V7DwEKopM92f5SEQSL7XxtKgNSgwXEUpdNyA/J4qV2nCrjV3KGrE4h9g24Gpe0e8WCGbZQ==" saltValue="XI4Qx0lgM6J5pCleSinQ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CHANTADA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0.75362318840579712</v>
      </c>
      <c r="AM12" s="284">
        <f>IF(ISNUMBER(((NºAsuntos!I12/NºAsuntos!G12)*11)/factor_trimestre),((NºAsuntos!I12/NºAsuntos!G12)*11)/factor_trimestre," - ")</f>
        <v>6.9871794871794881</v>
      </c>
      <c r="AN12" s="267">
        <f>IF(ISNUMBER('Resol  Asuntos'!D12/NºAsuntos!G12),'Resol  Asuntos'!D12/NºAsuntos!G12," - ")</f>
        <v>0.21794871794871795</v>
      </c>
      <c r="AO12" s="268">
        <f>IF(ISNUMBER((NºAsuntos!C12+NºAsuntos!E12)/NºAsuntos!G12),(NºAsuntos!C12+NºAsuntos!E12)/NºAsuntos!G12," - ")</f>
        <v>4.4935897435897436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32</v>
      </c>
      <c r="Y14" s="1165">
        <f t="shared" si="6"/>
        <v>32</v>
      </c>
      <c r="Z14" s="1165">
        <f t="shared" si="6"/>
        <v>0</v>
      </c>
      <c r="AA14" s="1165">
        <f t="shared" si="6"/>
        <v>4</v>
      </c>
      <c r="AB14" s="1165">
        <f t="shared" si="6"/>
        <v>684</v>
      </c>
      <c r="AC14" s="1165">
        <f t="shared" si="6"/>
        <v>4</v>
      </c>
      <c r="AD14" s="1165">
        <f t="shared" si="6"/>
        <v>0</v>
      </c>
      <c r="AE14" s="1169">
        <f t="shared" si="6"/>
        <v>0</v>
      </c>
      <c r="AF14" s="1162">
        <f t="shared" si="6"/>
        <v>0</v>
      </c>
      <c r="AG14" s="1170">
        <f t="shared" si="6"/>
        <v>0</v>
      </c>
      <c r="AH14" s="1167">
        <f t="shared" si="6"/>
        <v>0</v>
      </c>
      <c r="AI14" s="1162">
        <f t="shared" si="6"/>
        <v>34</v>
      </c>
      <c r="AJ14" s="1164">
        <f t="shared" si="6"/>
        <v>0</v>
      </c>
      <c r="AK14" s="1167">
        <f>SUBTOTAL(9,AK9:AK13)</f>
        <v>0</v>
      </c>
      <c r="AL14" s="1171">
        <f>IF(ISNUMBER(NºAsuntos!G14/NºAsuntos!E14),NºAsuntos!G14/NºAsuntos!E14," - ")</f>
        <v>0.75362318840579712</v>
      </c>
      <c r="AM14" s="1171">
        <f>IF(ISNUMBER(((NºAsuntos!I14/NºAsuntos!G14)*11)/factor_trimestre),((NºAsuntos!I14/NºAsuntos!G14)*11)/factor_trimestre," - ")</f>
        <v>7.0384615384615383</v>
      </c>
      <c r="AN14" s="1172">
        <f>IF(ISNUMBER('Resol  Asuntos'!D14/NºAsuntos!G14),'Resol  Asuntos'!D14/NºAsuntos!G14," - ")</f>
        <v>0.21794871794871795</v>
      </c>
      <c r="AO14" s="1173">
        <f>IF(ISNUMBER((NºAsuntos!C14+NºAsuntos!E14)/NºAsuntos!G14),(NºAsuntos!C14+NºAsuntos!E14)/NºAsuntos!G14," - ")</f>
        <v>4.5192307692307692</v>
      </c>
      <c r="AP14" s="1174" t="str">
        <f t="shared" si="2"/>
        <v xml:space="preserve"> - </v>
      </c>
      <c r="AQ14" s="1174">
        <f>IF(ISNUMBER((H14-W14+K14)/(F14)),(H14-W14+K14)/(F14)," - ")</f>
        <v>0</v>
      </c>
      <c r="AR14" s="1175">
        <f>IF(ISNUMBER((Datos!P14-Datos!Q14)/(Datos!R14-Datos!P14+Datos!Q14)),(Datos!P14-Datos!Q14)/(Datos!R14-Datos!P14+Datos!Q14)," - ")</f>
        <v>2.7027027027027029E-2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367</v>
      </c>
      <c r="G17" s="373">
        <f>IF(ISNUMBER(IF(D_I="SI",Datos!I17,Datos!I17+Datos!AC17)),IF(D_I="SI",Datos!I17,Datos!I17+Datos!AC17)," - ")</f>
        <v>367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102</v>
      </c>
      <c r="X17" s="240">
        <f>IF(ISNUMBER(Datos!Q17),Datos!Q17," - ")</f>
        <v>2</v>
      </c>
      <c r="Y17" s="374">
        <f t="shared" ref="Y17:Y22" si="9">SUM(W17:X17)</f>
        <v>104</v>
      </c>
      <c r="Z17" s="375" t="str">
        <f>IF(ISNUMBER(Datos!CC17),Datos!CC17," - ")</f>
        <v xml:space="preserve"> - </v>
      </c>
      <c r="AA17" s="372">
        <f>IF(ISNUMBER(IF(D_I="SI",Datos!L17,Datos!L17+Datos!AF17)),IF(D_I="SI",Datos!L17,Datos!L17+Datos!AF17)," - ")</f>
        <v>450</v>
      </c>
      <c r="AB17" s="374">
        <f>IF(ISNUMBER(Datos!R17),Datos!R17," - ")</f>
        <v>38</v>
      </c>
      <c r="AC17" s="374">
        <f t="shared" si="8"/>
        <v>488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0.55135135135135138</v>
      </c>
      <c r="AM17" s="284">
        <f>IF(ISNUMBER(((NºAsuntos!I17/NºAsuntos!G17)*11)/factor_trimestre),((NºAsuntos!I17/NºAsuntos!G17)*11)/factor_trimestre," - ")</f>
        <v>8.8235294117647065</v>
      </c>
      <c r="AN17" s="267">
        <f>IF(ISNUMBER('Resol  Asuntos'!D17/NºAsuntos!G17),'Resol  Asuntos'!D17/NºAsuntos!G17," - ")</f>
        <v>6.8627450980392163E-2</v>
      </c>
      <c r="AO17" s="268">
        <f>IF(ISNUMBER((NºAsuntos!C17+NºAsuntos!E17)/NºAsuntos!G17),(NºAsuntos!C17+NºAsuntos!E17)/NºAsuntos!G17," - ")</f>
        <v>5.4117647058823533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6.5714285714285703</v>
      </c>
      <c r="AN18" s="267">
        <f>IF(ISNUMBER('Resol  Asuntos'!D18/NºAsuntos!G18),'Resol  Asuntos'!D18/NºAsuntos!G18," - ")</f>
        <v>0</v>
      </c>
      <c r="AO18" s="268">
        <f>IF(ISNUMBER((NºAsuntos!C18+NºAsuntos!E18)/NºAsuntos!G18),(NºAsuntos!C18+NºAsuntos!E18)/NºAsuntos!G18," - ")</f>
        <v>4.2857142857142856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367</v>
      </c>
      <c r="G23" s="1163">
        <f>SUBTOTAL(9,G16:G22)</f>
        <v>391</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v>
      </c>
      <c r="X23" s="1164">
        <f t="shared" si="14"/>
        <v>2</v>
      </c>
      <c r="Y23" s="1165">
        <f t="shared" si="14"/>
        <v>111</v>
      </c>
      <c r="Z23" s="1165">
        <f t="shared" si="14"/>
        <v>0</v>
      </c>
      <c r="AA23" s="1165">
        <f t="shared" si="14"/>
        <v>473</v>
      </c>
      <c r="AB23" s="1165">
        <f t="shared" si="14"/>
        <v>38</v>
      </c>
      <c r="AC23" s="1165">
        <f t="shared" si="14"/>
        <v>511</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0.5706806282722513</v>
      </c>
      <c r="AM23" s="1171">
        <f>IF(ISNUMBER(((NºAsuntos!I23/NºAsuntos!G23)*11)/factor_trimestre),((NºAsuntos!I23/NºAsuntos!G23)*11)/factor_trimestre," - ")</f>
        <v>8.6788990825688082</v>
      </c>
      <c r="AN23" s="1172">
        <f>IF(ISNUMBER('Resol  Asuntos'!D23/NºAsuntos!G23),'Resol  Asuntos'!D23/NºAsuntos!G23," - ")</f>
        <v>6.4220183486238536E-2</v>
      </c>
      <c r="AO23" s="1173">
        <f>IF(ISNUMBER((NºAsuntos!C23+NºAsuntos!E23)/NºAsuntos!G23),(NºAsuntos!C23+NºAsuntos!E23)/NºAsuntos!G23," - ")</f>
        <v>5.3394495412844041</v>
      </c>
      <c r="AP23" s="1174" t="str">
        <f t="shared" si="2"/>
        <v xml:space="preserve"> - </v>
      </c>
      <c r="AQ23" s="1174">
        <f>IF(ISNUMBER((H23-W23+K23)/(F23)),(H23-W23+K23)/(F23)," - ")</f>
        <v>-0.29700272479564033</v>
      </c>
      <c r="AR23" s="1175">
        <f>IF(ISNUMBER((Datos!P23-Datos!Q23)/(Datos!R23-Datos!P23+Datos!Q23)),(Datos!P23-Datos!Q23)/(Datos!R23-Datos!P23+Datos!Q23)," - ")</f>
        <v>-2.564102564102564E-2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371</v>
      </c>
      <c r="G31" s="1118">
        <f t="shared" si="20"/>
        <v>395</v>
      </c>
      <c r="H31" s="1117">
        <f t="shared" si="20"/>
        <v>0</v>
      </c>
      <c r="I31" s="1119">
        <f t="shared" si="20"/>
        <v>0</v>
      </c>
      <c r="J31" s="1119">
        <f t="shared" si="20"/>
        <v>0</v>
      </c>
      <c r="K31" s="1180">
        <f t="shared" si="20"/>
        <v>0</v>
      </c>
      <c r="L31" s="1119">
        <f t="shared" si="20"/>
        <v>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109</v>
      </c>
      <c r="X31" s="1118">
        <f t="shared" si="21"/>
        <v>34</v>
      </c>
      <c r="Y31" s="1125">
        <f t="shared" si="21"/>
        <v>143</v>
      </c>
      <c r="Z31" s="1125">
        <f t="shared" si="21"/>
        <v>0</v>
      </c>
      <c r="AA31" s="1125">
        <f t="shared" si="21"/>
        <v>477</v>
      </c>
      <c r="AB31" s="1125">
        <f t="shared" si="21"/>
        <v>722</v>
      </c>
      <c r="AC31" s="1125">
        <f t="shared" si="21"/>
        <v>515</v>
      </c>
      <c r="AD31" s="1125">
        <f t="shared" si="21"/>
        <v>0</v>
      </c>
      <c r="AE31" s="1127">
        <f t="shared" si="21"/>
        <v>0</v>
      </c>
      <c r="AF31" s="1128">
        <f t="shared" si="21"/>
        <v>0</v>
      </c>
      <c r="AG31" s="1129">
        <f t="shared" si="21"/>
        <v>0</v>
      </c>
      <c r="AH31" s="1127">
        <f t="shared" si="21"/>
        <v>0</v>
      </c>
      <c r="AI31" s="1117">
        <f t="shared" si="21"/>
        <v>41</v>
      </c>
      <c r="AJ31" s="1117">
        <f t="shared" si="21"/>
        <v>0</v>
      </c>
      <c r="AK31" s="1127">
        <f t="shared" si="21"/>
        <v>0</v>
      </c>
      <c r="AL31" s="1183">
        <f>IF(ISNUMBER(NºAsuntos!G31/NºAsuntos!E31),NºAsuntos!G31/NºAsuntos!E31," - ")</f>
        <v>0.66582914572864327</v>
      </c>
      <c r="AM31" s="1184">
        <f>IF(ISNUMBER(((NºAsuntos!I31/NºAsuntos!G31)*11)/factor_trimestre),((NºAsuntos!I31/NºAsuntos!G31)*11)/factor_trimestre," - ")</f>
        <v>7.7132075471698123</v>
      </c>
      <c r="AN31" s="1184">
        <f>IF(ISNUMBER('Resol  Asuntos'!D31/NºAsuntos!G31),'Resol  Asuntos'!D31/NºAsuntos!G31," - ")</f>
        <v>0.15471698113207547</v>
      </c>
      <c r="AO31" s="1185">
        <f>IF(ISNUMBER((NºAsuntos!C31+NºAsuntos!E31)/NºAsuntos!G31),(NºAsuntos!C31+NºAsuntos!E31)/NºAsuntos!G31," - ")</f>
        <v>4.8566037735849052</v>
      </c>
      <c r="AP31" s="1186" t="str">
        <f t="shared" si="2"/>
        <v xml:space="preserve"> - </v>
      </c>
      <c r="AQ31" s="1187">
        <f>IF(OR(ISNUMBER(FIND("01",Criterios!A8,1)),ISNUMBER(FIND("02",Criterios!A8,1)),ISNUMBER(FIND("03",Criterios!A8,1)),ISNUMBER(FIND("04",Criterios!A8,1))),(I31-W31+K31)/(F31-K31),(H31-W31+K31)/(F31-K31))</f>
        <v>-0.29380053908355797</v>
      </c>
      <c r="AR31" s="1188">
        <f>IF(ISNUMBER((Datos!P31-Datos!Q31)/(Datos!R31-Datos!P31+Datos!Q31)),(Datos!P31-Datos!Q31)/(Datos!R31-Datos!P31+Datos!Q31)," - ")</f>
        <v>2.4113475177304965E-2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188.4936780549063</v>
      </c>
      <c r="G33" s="277">
        <f>IF(ISNUMBER(STDEV(G8:G30)),STDEV(G8:G30),"-")</f>
        <v>182.12672197440676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50.899995322293734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14.973786619098247</v>
      </c>
      <c r="AJ33" s="276">
        <f t="shared" si="25"/>
        <v>0</v>
      </c>
      <c r="AK33" s="278">
        <f t="shared" si="25"/>
        <v>0</v>
      </c>
      <c r="AL33" s="273">
        <f t="shared" si="25"/>
        <v>0.24740245540250841</v>
      </c>
      <c r="AM33" s="274">
        <f t="shared" si="25"/>
        <v>1.0497500995685483</v>
      </c>
      <c r="AN33" s="274">
        <f t="shared" si="25"/>
        <v>9.8923019683699612E-2</v>
      </c>
      <c r="AO33" s="275">
        <f t="shared" si="25"/>
        <v>0.52487504978426658</v>
      </c>
      <c r="AP33" s="317" t="str">
        <f t="shared" si="25"/>
        <v>-</v>
      </c>
      <c r="AQ33" s="318">
        <f t="shared" si="25"/>
        <v>0.21001264073387924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mmZ/Xe5L+mPe/P2rQrnSplN89ckZArqfZLfzEYvUBViAbd3/BlC/6nTJHqJ9QR67RtTYJyQVoLBDZdD7gK4Bw==" saltValue="2MkEpTHefWuKQe8pm3xQ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CHANTADA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-5.5555555555555552E-2</v>
      </c>
      <c r="I12" s="395">
        <f>IF(ISNUMBER((Tasas!C12-Datos!BE12)/Datos!BE12),(Tasas!C12-Datos!BE12)/Datos!BE12," - ")</f>
        <v>-9.9655637768160429E-2</v>
      </c>
      <c r="J12" s="394">
        <f>IF(ISNUMBER((Tasas!D12-Datos!BF12)/Datos!BF12),(Tasas!D12-Datos!BF12)/Datos!BF12," - ")</f>
        <v>-0.46640141467727675</v>
      </c>
      <c r="K12" s="396">
        <f>IF(ISNUMBER((Tasas!E12-Datos!BG12)/Datos!BG12),(Tasas!E12-Datos!BG12)/Datos!BG12," - ")</f>
        <v>-7.9235579235579223E-2</v>
      </c>
      <c r="M12" t="e">
        <f>IF(Monitorios="SI",Datos!CE12,0)</f>
        <v>#REF!</v>
      </c>
      <c r="N12" t="e">
        <f>IF(Monitorios="SI",Datos!CF12,0)</f>
        <v>#REF!</v>
      </c>
      <c r="O12" t="e">
        <f>IF(Monitorios="SI",Datos!CG12,0)</f>
        <v>#REF!</v>
      </c>
      <c r="P12" t="e">
        <f>IF(Monitorios="SI",Datos!CH12,0)</f>
        <v>#REF!</v>
      </c>
      <c r="Q12">
        <f>IF(J_V="SI",0,Datos!AG12)</f>
        <v>30</v>
      </c>
      <c r="R12">
        <f>IF(J_V="SI",0,Datos!AH12)</f>
        <v>24</v>
      </c>
      <c r="S12">
        <f>IF(J_V="SI",0,Datos!AI12)</f>
        <v>17</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-5.5555555555555552E-2</v>
      </c>
      <c r="I14" s="402">
        <f>IF(ISNUMBER((Tasas!C14-Datos!BE14)/Datos!BE14),(Tasas!C14-Datos!BE14)/Datos!BE14," - ")</f>
        <v>-9.4690635451505065E-2</v>
      </c>
      <c r="J14" s="400">
        <f>IF(ISNUMBER((Tasas!D14-Datos!BF14)/Datos!BF14),(Tasas!D14-Datos!BF14)/Datos!BF14," - ")</f>
        <v>-0.46640141467727675</v>
      </c>
      <c r="K14" s="403">
        <f>IF(ISNUMBER((Tasas!E14-Datos!BG14)/Datos!BG14),(Tasas!E14-Datos!BG14)/Datos!BG14," - ")</f>
        <v>-7.5315894480159656E-2</v>
      </c>
      <c r="M14" t="e">
        <f>IF(Monitorios="SI",Datos!CE14,0)</f>
        <v>#REF!</v>
      </c>
      <c r="N14" t="e">
        <f>IF(Monitorios="SI",Datos!CF14,0)</f>
        <v>#REF!</v>
      </c>
      <c r="O14" t="e">
        <f>IF(Monitorios="SI",Datos!CG14,0)</f>
        <v>#REF!</v>
      </c>
      <c r="P14" t="e">
        <f>IF(Monitorios="SI",Datos!CH14,0)</f>
        <v>#REF!</v>
      </c>
      <c r="Q14">
        <f>IF(J_V="SI",0,Datos!AG14)</f>
        <v>30</v>
      </c>
      <c r="R14">
        <f>IF(J_V="SI",0,Datos!AH14)</f>
        <v>24</v>
      </c>
      <c r="S14">
        <f>IF(J_V="SI",0,Datos!AI14)</f>
        <v>17</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-1.3440860215053764E-2</v>
      </c>
      <c r="E17" s="393">
        <f>IF(ISNUMBER(
   IF(D_I="SI",(Datos!J17-Datos!T17)/Datos!T17,(Datos!J17+Datos!AD17-(Datos!T17+Datos!AL17))/(Datos!T17+Datos!AL17))
     ),IF(D_I="SI",(Datos!J17-Datos!T17)/Datos!T17,(Datos!J17+Datos!AD17-(Datos!T17+Datos!AL17))/(Datos!T17+Datos!AL17))," - ")</f>
        <v>5.7142857142857141E-2</v>
      </c>
      <c r="F17" s="393">
        <f>IF(ISNUMBER(
   IF(D_I="SI",(Datos!K17-Datos!U17)/Datos!U17,(Datos!K17+Datos!AE17-(Datos!U17+Datos!AM17))/(Datos!U17+Datos!AM17))
     ),IF(D_I="SI",(Datos!K17-Datos!U17)/Datos!U17,(Datos!K17+Datos!AE17-(Datos!U17+Datos!AM17))/(Datos!U17+Datos!AM17))," - ")</f>
        <v>-0.42372881355932202</v>
      </c>
      <c r="G17" s="394">
        <f>IF(ISNUMBER(
   IF(D_I="SI",(Datos!L17-Datos!V17)/Datos!V17,(Datos!L17+Datos!AF17-(Datos!V17+Datos!AN17))/(Datos!V17+Datos!AN17))
     ),IF(D_I="SI",(Datos!L17-Datos!V17)/Datos!V17,(Datos!L17+Datos!AF17-(Datos!V17+Datos!AN17))/(Datos!V17+Datos!AN17))," - ")</f>
        <v>0.21621621621621623</v>
      </c>
      <c r="H17" s="244">
        <f>IF(ISNUMBER((Datos!M17-Datos!W17)/Datos!W17),(Datos!M17-Datos!W17)/Datos!W17," - ")</f>
        <v>-0.58823529411764708</v>
      </c>
      <c r="I17" s="395">
        <f>IF(ISNUMBER((Tasas!C17-Datos!BE17)/Datos!BE17),(Tasas!C17-Datos!BE17)/Datos!BE17," - ")</f>
        <v>1.1104928457869636</v>
      </c>
      <c r="J17" s="394">
        <f>IF(ISNUMBER((Tasas!D17-Datos!BF17)/Datos!BF17),(Tasas!D17-Datos!BF17)/Datos!BF17," - ")</f>
        <v>-0.28546712802768165</v>
      </c>
      <c r="K17" s="396">
        <f>IF(ISNUMBER((Tasas!E17-Datos!BG17)/Datos!BG17),(Tasas!E17-Datos!BG17)/Datos!BG17," - ")</f>
        <v>0.75115603828368649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0.21052631578947367</v>
      </c>
      <c r="H18" s="244">
        <f>IF(ISNUMBER((Datos!M18-Datos!W18)/Datos!W18),(Datos!M18-Datos!W18)/Datos!W18," - ")</f>
        <v>-1</v>
      </c>
      <c r="I18" s="395">
        <f>IF(ISNUMBER((Tasas!C18-Datos!BE18)/Datos!BE18),(Tasas!C18-Datos!BE18)/Datos!BE18," - ")</f>
        <v>0.21052631578947359</v>
      </c>
      <c r="J18" s="394">
        <f>IF(ISNUMBER((Tasas!D18-Datos!BF18)/Datos!BF18),(Tasas!D18-Datos!BF18)/Datos!BF18," - ")</f>
        <v>-1</v>
      </c>
      <c r="K18" s="396">
        <f>IF(ISNUMBER((Tasas!E18-Datos!BG18)/Datos!BG18),(Tasas!E18-Datos!BG18)/Datos!BG18," - ")</f>
        <v>0.15384615384615377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2.5641025641025641E-3</v>
      </c>
      <c r="E23" s="399">
        <f>IF(ISNUMBER(
   IF(D_I="SI",(Datos!J23-Datos!T23)/Datos!T23,(Datos!J23+Datos!AD23-(Datos!T23+Datos!AL23))/(Datos!T23+Datos!AL23))
     ),IF(D_I="SI",(Datos!J23-Datos!T23)/Datos!T23,(Datos!J23+Datos!AD23-(Datos!T23+Datos!AL23))/(Datos!T23+Datos!AL23))," - ")</f>
        <v>4.3715846994535519E-2</v>
      </c>
      <c r="F23" s="399">
        <f>IF(ISNUMBER(
   IF(D_I="SI",(Datos!K23-Datos!U23)/Datos!U23,(Datos!K23+Datos!AE23-(Datos!U23+Datos!AM23))/(Datos!U23+Datos!AM23))
     ),IF(D_I="SI",(Datos!K23-Datos!U23)/Datos!U23,(Datos!K23+Datos!AE23-(Datos!U23+Datos!AM23))/(Datos!U23+Datos!AM23))," - ")</f>
        <v>-0.40760869565217389</v>
      </c>
      <c r="G23" s="400">
        <f>IF(ISNUMBER(
   IF(D_I="SI",(Datos!L23-Datos!V23)/Datos!V23,(Datos!L23+Datos!AF23-(Datos!V23+Datos!AN23))/(Datos!V23+Datos!AN23))
     ),IF(D_I="SI",(Datos!L23-Datos!V23)/Datos!V23,(Datos!L23+Datos!AF23-(Datos!V23+Datos!AN23))/(Datos!V23+Datos!AN23))," - ")</f>
        <v>0.21593830334190231</v>
      </c>
      <c r="H23" s="401">
        <f>IF(ISNUMBER((Datos!M23-Datos!W23)/Datos!W23),(Datos!M23-Datos!W23)/Datos!W23," - ")</f>
        <v>-0.61111111111111116</v>
      </c>
      <c r="I23" s="402">
        <f>IF(ISNUMBER((Tasas!C23-Datos!BE23)/Datos!BE23),(Tasas!C23-Datos!BE23)/Datos!BE23," - ")</f>
        <v>1.052593099219358</v>
      </c>
      <c r="J23" s="400">
        <f>IF(ISNUMBER((Tasas!D23-Datos!BF23)/Datos!BF23),(Tasas!D23-Datos!BF23)/Datos!BF23," - ")</f>
        <v>-0.34352701325178386</v>
      </c>
      <c r="K23" s="403">
        <f>IF(ISNUMBER((Tasas!E23-Datos!BG23)/Datos!BG23),(Tasas!E23-Datos!BG23)/Datos!BG23," - ")</f>
        <v>0.7145876362937702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-4.5112781954887216E-2</v>
      </c>
      <c r="E31" s="409">
        <f>IF(ISNUMBER(
   IF(J_V="SI",(Datos!J31-Datos!T31)/Datos!T31,(Datos!J31+Datos!Z31-(Datos!T31+Datos!AH31))/(Datos!T31+Datos!AH31))
     ),IF(J_V="SI",(Datos!J31-Datos!T31)/Datos!T31,(Datos!J31+Datos!Z31-(Datos!T31+Datos!AH31))/(Datos!T31+Datos!AH31))," - ")</f>
        <v>0.18452380952380953</v>
      </c>
      <c r="F31" s="409">
        <f>IF(ISNUMBER(
   IF(J_V="SI",(Datos!K31-Datos!U31)/Datos!U31,(Datos!K31+Datos!AA31-(Datos!U31+Datos!AI31))/(Datos!U31+Datos!AI31))
     ),IF(J_V="SI",(Datos!K31-Datos!U31)/Datos!U31,(Datos!K31+Datos!AA31-(Datos!U31+Datos!AI31))/(Datos!U31+Datos!AI31))," - ")</f>
        <v>-0.18711656441717792</v>
      </c>
      <c r="G31" s="410">
        <f>IF(ISNUMBER(
   IF(J_V="SI",(Datos!L31-Datos!V31)/Datos!V31,(Datos!L31+Datos!AB31-(Datos!V31+Datos!AJ31))/(Datos!V31+Datos!AJ31))
     ),IF(J_V="SI",(Datos!L31-Datos!V31)/Datos!V31,(Datos!L31+Datos!AB31-(Datos!V31+Datos!AJ31))/(Datos!V31+Datos!AJ31))," - ")</f>
        <v>8.6078639744952182E-2</v>
      </c>
      <c r="H31" s="411">
        <f>IF(ISNUMBER((Datos!M31-Datos!W31)/Datos!W31),(Datos!M31-Datos!W31)/Datos!W31," - ")</f>
        <v>-0.24074074074074073</v>
      </c>
      <c r="I31" s="408">
        <f>IF(ISNUMBER((Tasas!C31-Datos!BE31)/Datos!BE31),(Tasas!C31-Datos!BE31)/Datos!BE31," - ")</f>
        <v>0.33608164738435631</v>
      </c>
      <c r="J31" s="409">
        <f>IF(ISNUMBER((Tasas!D31-Datos!BF31)/Datos!BF31),(Tasas!D31-Datos!BF31)/Datos!BF31," - ")</f>
        <v>-0.33634558093346573</v>
      </c>
      <c r="K31" s="410">
        <f>IF(ISNUMBER((Tasas!E31-Datos!BG31)/Datos!BG31),(Tasas!E31-Datos!BG31)/Datos!BG31," - ")</f>
        <v>0.24960760078033079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1.4550623031486336</v>
      </c>
      <c r="E33" s="303">
        <f t="shared" si="1"/>
        <v>0.17358284192814971</v>
      </c>
      <c r="F33" s="303">
        <f t="shared" si="1"/>
        <v>0.24012177966363854</v>
      </c>
      <c r="G33" s="304">
        <f t="shared" si="1"/>
        <v>1.3928889900243029</v>
      </c>
      <c r="H33" s="310">
        <f t="shared" si="1"/>
        <v>0.40558833930261895</v>
      </c>
      <c r="I33" s="302">
        <f t="shared" si="1"/>
        <v>0.60301853959229301</v>
      </c>
      <c r="J33" s="303">
        <f t="shared" si="1"/>
        <v>0.28372614679214309</v>
      </c>
      <c r="K33" s="304">
        <f t="shared" si="1"/>
        <v>0.41268111407972435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jrUTkUlc4oEQm3ZDuXIbzDOuA1K6xHD6+AMDbrFHESgn8XVC4PwFlyF+6g4exEIyxQirV0DuqeQPw5ecOfbZA==" saltValue="c+HqogCxWUxDhDjHtxsy5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